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contratos 2019 " sheetId="1" r:id="rId1"/>
  </sheets>
  <definedNames/>
  <calcPr fullCalcOnLoad="1"/>
</workbook>
</file>

<file path=xl/sharedStrings.xml><?xml version="1.0" encoding="utf-8"?>
<sst xmlns="http://schemas.openxmlformats.org/spreadsheetml/2006/main" count="391" uniqueCount="360">
  <si>
    <t>Total</t>
  </si>
  <si>
    <t>FEVEREIRO</t>
  </si>
  <si>
    <t>JANEIRO</t>
  </si>
  <si>
    <t>TOTAL</t>
  </si>
  <si>
    <t>Serviços de Processamento de Dados</t>
  </si>
  <si>
    <t>Serviços de Manutenção e Reparos</t>
  </si>
  <si>
    <t>Elevadores Atlas Schindler S/A</t>
  </si>
  <si>
    <t>Serviços de Auditoria</t>
  </si>
  <si>
    <t>Serviços de Segurança</t>
  </si>
  <si>
    <t>Serviços Gerais</t>
  </si>
  <si>
    <t>Serviços de Radiologia</t>
  </si>
  <si>
    <t>Serviços de Lavanderia</t>
  </si>
  <si>
    <t>Serviços de Esterilização</t>
  </si>
  <si>
    <t>Serviços de Consultoria</t>
  </si>
  <si>
    <t>Planisa Planejamento e Org. Inst. Saude</t>
  </si>
  <si>
    <t>Data da Contratação</t>
  </si>
  <si>
    <t>Nome do Fornecedor</t>
  </si>
  <si>
    <t>Objeto do Contrato</t>
  </si>
  <si>
    <t>N° do CPF/CNPJ</t>
  </si>
  <si>
    <t>05.09.2011</t>
  </si>
  <si>
    <t>controlador de acesso/porteiro</t>
  </si>
  <si>
    <t>Auditoria Contábil</t>
  </si>
  <si>
    <t>12.11.2009</t>
  </si>
  <si>
    <t>18.06.2010</t>
  </si>
  <si>
    <t>Manutenção preventiva e corretiva para elevadores</t>
  </si>
  <si>
    <t>lavagem e desinfecção de roupas</t>
  </si>
  <si>
    <t>31.08.2009</t>
  </si>
  <si>
    <t>01.12.2010</t>
  </si>
  <si>
    <t>Planejamento e Organização de instituições de saúde</t>
  </si>
  <si>
    <t>58.921.792/0001-17</t>
  </si>
  <si>
    <t>15.02.2010</t>
  </si>
  <si>
    <t>Serviço Esporádico</t>
  </si>
  <si>
    <t xml:space="preserve">Fábio Antonio Obici    -   Diretor Presidente            -             Assinatura: ______________________________   </t>
  </si>
  <si>
    <t>Prestação de Serviços de Segurança do Trabalho</t>
  </si>
  <si>
    <t>Serviços Médicos</t>
  </si>
  <si>
    <t>Serviços Laboratoriais</t>
  </si>
  <si>
    <t>Serviços de Laboratório</t>
  </si>
  <si>
    <t>Reprodução de Documentos</t>
  </si>
  <si>
    <t>Despesas com Reprodução de Documentos</t>
  </si>
  <si>
    <t>Despesas com Coleta de Lixo Hospitalar</t>
  </si>
  <si>
    <t>21.06.2012</t>
  </si>
  <si>
    <t>MARÇO</t>
  </si>
  <si>
    <t>ABRIL</t>
  </si>
  <si>
    <t>MAIO</t>
  </si>
  <si>
    <t>JUNHO</t>
  </si>
  <si>
    <t>JULHO</t>
  </si>
  <si>
    <t>05.942.423/0001-44</t>
  </si>
  <si>
    <t>10.613.946/0001-87</t>
  </si>
  <si>
    <t>AGOSTO</t>
  </si>
  <si>
    <t>SETEMBRO</t>
  </si>
  <si>
    <t>OUTUBRO</t>
  </si>
  <si>
    <t>NOVEMBRO</t>
  </si>
  <si>
    <t>DEZEMBRO</t>
  </si>
  <si>
    <t>Serviços de Coleta de Lixo Hospitalar</t>
  </si>
  <si>
    <t>CS  Soluções em Software de Gestão Empresarial Ltda</t>
  </si>
  <si>
    <t>Software da Folha de pagamento</t>
  </si>
  <si>
    <t>E-val Tecnologia em Informática Ltda</t>
  </si>
  <si>
    <t>Certificação Digital (Prontuários de pacientes)</t>
  </si>
  <si>
    <t>Software do Ativo Imobilizado (Patrimonio)</t>
  </si>
  <si>
    <t>Fundação Mirim de Araçatuba</t>
  </si>
  <si>
    <t>Convênio (Trabalho de menor aprendiz)</t>
  </si>
  <si>
    <t>Tele-monitoramento de sistema de segurança</t>
  </si>
  <si>
    <t>Analises fisico quimicas e bacteriológicas.</t>
  </si>
  <si>
    <t>Serviços de dosimetria de radiação ionizante e concessão de 6 dosímetros</t>
  </si>
  <si>
    <t>Alberto Francisco Costa</t>
  </si>
  <si>
    <t>Arri &amp; Santos Portaria e Limpeza Ltda ME</t>
  </si>
  <si>
    <t>Suporte e Monitoramento Mensal dos Servidores</t>
  </si>
  <si>
    <t>Ecotel Assistência e Serviços Ltda</t>
  </si>
  <si>
    <t>01.958.002/0001-50</t>
  </si>
  <si>
    <t>05.278.889/0001-97</t>
  </si>
  <si>
    <t>00.028.986/0001-08</t>
  </si>
  <si>
    <t>59.768.192/0001-23</t>
  </si>
  <si>
    <t>00.778.178/0001-68</t>
  </si>
  <si>
    <t>19.085.606/0001-03</t>
  </si>
  <si>
    <t>12.287.457/0001-08</t>
  </si>
  <si>
    <t>06.251.828/0001-07</t>
  </si>
  <si>
    <t>08.366.450/0001-04</t>
  </si>
  <si>
    <t>19.849.222/0001-01</t>
  </si>
  <si>
    <t>15.780.199/0001-95</t>
  </si>
  <si>
    <t>08.718.742/0001-69</t>
  </si>
  <si>
    <t>14.254.860/0001-66</t>
  </si>
  <si>
    <t>18.147.676/0001-78</t>
  </si>
  <si>
    <t>12.391.081/0001-87</t>
  </si>
  <si>
    <t>15.333.427/0001-89</t>
  </si>
  <si>
    <t>11.392.447/0001-70</t>
  </si>
  <si>
    <t>12.137.244/0001-08</t>
  </si>
  <si>
    <t>10.565.316/0001-84</t>
  </si>
  <si>
    <t>03.286.898/0001-02</t>
  </si>
  <si>
    <t>51.106.110/0001-73</t>
  </si>
  <si>
    <t>07.835.678/0001-33</t>
  </si>
  <si>
    <t>12.979.817/0001-32</t>
  </si>
  <si>
    <t>01.678.371/0001-90</t>
  </si>
  <si>
    <t>20.676.103/0001-83</t>
  </si>
  <si>
    <t>11.952.026/0001-56</t>
  </si>
  <si>
    <t>06.020.058/0001-83</t>
  </si>
  <si>
    <t>12.810.962/0001-95</t>
  </si>
  <si>
    <t>19.849.218/0001-43</t>
  </si>
  <si>
    <t>02.001.383/0001-48</t>
  </si>
  <si>
    <t>13.386.317/0001-50</t>
  </si>
  <si>
    <t>13.500.316/0001-94</t>
  </si>
  <si>
    <t>18.331.474/0001-81</t>
  </si>
  <si>
    <t>08.764.594/0001-19</t>
  </si>
  <si>
    <t>11.007.451/0001-77</t>
  </si>
  <si>
    <t>12.160.809/0001-60</t>
  </si>
  <si>
    <t xml:space="preserve">Consultas de Cardiologia, Ecocardiograma, Eletrocardiograma, Ergometria, Holter e Mapa </t>
  </si>
  <si>
    <t>Ultrassonografias</t>
  </si>
  <si>
    <t>Consultas de Urologia, Cistoscopia, Postectomia</t>
  </si>
  <si>
    <t>Anestesiologia</t>
  </si>
  <si>
    <t>Consultas de Alergologia</t>
  </si>
  <si>
    <t>Consultas de Ortopedia</t>
  </si>
  <si>
    <t>Consultas de Cirurgia Vascular e Tratamento Cirúrgico de Varizes (Esclero)</t>
  </si>
  <si>
    <t>Consulta de Ortopedia</t>
  </si>
  <si>
    <t>Consultas de Urologia</t>
  </si>
  <si>
    <t>Consultas de Cirurgia Vascular e Exames de Doppler, Tratamento Cirúrgico de Varizes (Escleroterapia)</t>
  </si>
  <si>
    <t>Radiologia e Diagnósticos por Imagem (Radiologia Geral e Especializada, Mamografia e Densitometria Óssea); Supervisão Médica (Prescrição de Meio de Contraste)­ para Ressonância Magnética,</t>
  </si>
  <si>
    <t>Consultas de Dermatologia, Pequena Cirurgia</t>
  </si>
  <si>
    <t>Cirurgia Geral (Avaliação de Pequenas Cirurgias), Gastroclinica, Pequena Cirurgia,</t>
  </si>
  <si>
    <t>Consultas de Neurologia Infantil e Exames de Eletroencefalograma</t>
  </si>
  <si>
    <t>Anatomopatologia e Citopatologia</t>
  </si>
  <si>
    <t>Consultas de Endocrinologia</t>
  </si>
  <si>
    <t>Cirurgia Geral (Avaliação de Pequenas Cirurgias), Cirurgia Plástica, Pequena Cirurgia</t>
  </si>
  <si>
    <t>Consultas de Ginecologia, Obstetrícia de Alto Risco, Mastologia, Colposcopia e Histeroscopia e Ultrassonografia em Ginecologia e Obstetrícia</t>
  </si>
  <si>
    <t xml:space="preserve">Consultas de Cardiologia, Ecocardiograma, Eletrocardiograma, Ergometria, Holter e Mapa e Oftalmologia, Exame de Retinografia </t>
  </si>
  <si>
    <t>Consultas de Endocrinologia e Endocrinologia Infantil</t>
  </si>
  <si>
    <t>Avaliação de Pequena Cirurgia- Síndrome de Túnel do Carpo e Cirurgia de Síndrome de Túnel do Carpo</t>
  </si>
  <si>
    <t>Consulta de Pneumologia e Exames de Espirometria</t>
  </si>
  <si>
    <t>Consultas de Cirurgia Vascular</t>
  </si>
  <si>
    <t>Consultas dee Gastroclinica, Hepatologia, Endoscopia Digestiva Alta e Colonocospia</t>
  </si>
  <si>
    <t>Consultas de Hematologia</t>
  </si>
  <si>
    <t>Revisão de Contas de Telefônia Fixa e Celular</t>
  </si>
  <si>
    <t>Taxa Mensal Suporte Técnico em Internet</t>
  </si>
  <si>
    <t>Hidroquimica Lab. Serv. De Controle de Qual. Aguas Ltda</t>
  </si>
  <si>
    <t>47.746.532/0001-36</t>
  </si>
  <si>
    <t>10.859.989/0001-47</t>
  </si>
  <si>
    <t>21.035.341/0001-72</t>
  </si>
  <si>
    <t>20.861.526/0001-73</t>
  </si>
  <si>
    <t>22.029.700/0001-41</t>
  </si>
  <si>
    <t>12.350.126/0001-75</t>
  </si>
  <si>
    <t>17.259.872/0001-71</t>
  </si>
  <si>
    <t>17.463.952/0001-44</t>
  </si>
  <si>
    <t>25.462.640/0001-44</t>
  </si>
  <si>
    <t>Software da Programa de Audiometria</t>
  </si>
  <si>
    <t>Winaudio Desenvolvimento de Programas Ltda - ME</t>
  </si>
  <si>
    <t>Ergo-Med-Ambiental Medicina, Seg. Ocupac. e Gestão Ambiental</t>
  </si>
  <si>
    <t>05.511.292/0001-40</t>
  </si>
  <si>
    <t>24.623.190/0001-61</t>
  </si>
  <si>
    <t>21.318.188/0001-90</t>
  </si>
  <si>
    <t>03.869.620/0001-50</t>
  </si>
  <si>
    <t>10.883.685/0001-15</t>
  </si>
  <si>
    <t>21.111.049/0001-91</t>
  </si>
  <si>
    <t>Exame de Eletroneuromiografia</t>
  </si>
  <si>
    <t>Consulta de Reumatologia</t>
  </si>
  <si>
    <t>Consulta de Endocrinologia</t>
  </si>
  <si>
    <t>Consulta de Urologia</t>
  </si>
  <si>
    <t>Consulta de Reumatolgia</t>
  </si>
  <si>
    <t>Consulta de Neurologia</t>
  </si>
  <si>
    <t>Consulta de Alergologia</t>
  </si>
  <si>
    <t>Controle de Infecção Ambulatorial</t>
  </si>
  <si>
    <t>Consulta de Dermatologia</t>
  </si>
  <si>
    <t>Unilab Laboratório de Analises Clinicas de Lins</t>
  </si>
  <si>
    <t>18.633.200/0001-47</t>
  </si>
  <si>
    <t>Soft Line Soluções em Sistemas Contábeis Ltda EPP</t>
  </si>
  <si>
    <t>15.044.976/0001-33</t>
  </si>
  <si>
    <t xml:space="preserve">Blueit Serviços Profissionais Tecnologia Informação Ltda </t>
  </si>
  <si>
    <t>27.663.114/0001-78</t>
  </si>
  <si>
    <t>26.824.364/0001-80</t>
  </si>
  <si>
    <t>26.848.238/0001-65</t>
  </si>
  <si>
    <t>13.435.701/0001-03</t>
  </si>
  <si>
    <t>09.661.614/0001-99</t>
  </si>
  <si>
    <t>Serviço de digitalização de Prontuários Pacientes</t>
  </si>
  <si>
    <t>24.461.229/0001-91</t>
  </si>
  <si>
    <t>50.429.810/0001-36</t>
  </si>
  <si>
    <t>Sapra Landauer Serv. de Assessoria e Prot. Radiologica</t>
  </si>
  <si>
    <t>O.M.I. Comércio e Manutenção de Equipamentos de Informátiva Ltda ME</t>
  </si>
  <si>
    <t>08.517.361/0001-11</t>
  </si>
  <si>
    <t>Consulta de Infecctologia</t>
  </si>
  <si>
    <t>Clinica Sabauna Ltda ME</t>
  </si>
  <si>
    <t>26.860.646/0001-32</t>
  </si>
  <si>
    <t>11.502.668/0001-53</t>
  </si>
  <si>
    <t>Consulta Ginecologia e USG</t>
  </si>
  <si>
    <t>Consulta de Otorrinolaringologia</t>
  </si>
  <si>
    <t>18.358.228/0001-13</t>
  </si>
  <si>
    <t>09.280.138/0001-66</t>
  </si>
  <si>
    <t>Consultas de Cardiologia e Pneumologia</t>
  </si>
  <si>
    <t>29.483.426/0001-25</t>
  </si>
  <si>
    <t>Consultas de Otorrinolaringologia</t>
  </si>
  <si>
    <t>Consultas de Otorrinolaringologia, Audiometria Impedanciometria, Nasolaringofibroscopia e Otoneurologia</t>
  </si>
  <si>
    <t>Consulta de Oftalmologia, Tonometria, Campimetria, Mapeamento de Retina, Ultrassom Ocular, Cirurgia Oftalmológica</t>
  </si>
  <si>
    <t>13.927.859/0001-92</t>
  </si>
  <si>
    <t>Consultas de Gastroclinica e Cirurgia Geral</t>
  </si>
  <si>
    <t>59.569.488/0001-54</t>
  </si>
  <si>
    <t>Consultas Médicas - prescrição de contrastes para Ressonância</t>
  </si>
  <si>
    <t>29.930.604/0001-19</t>
  </si>
  <si>
    <t>19.953.839/0001-72</t>
  </si>
  <si>
    <t>29.833.718/0001-40</t>
  </si>
  <si>
    <t>04.828.940/0001-24</t>
  </si>
  <si>
    <t>04.412.794/0001-51</t>
  </si>
  <si>
    <t>Ultrassonografia</t>
  </si>
  <si>
    <t>29.844.622/0001-88</t>
  </si>
  <si>
    <t>19.292.190/0001-96</t>
  </si>
  <si>
    <t>30.121.617/0001-26</t>
  </si>
  <si>
    <t>Oasis Petrópolis Locações e Transportes Ltda</t>
  </si>
  <si>
    <t>13.031.486/0001-77</t>
  </si>
  <si>
    <t>Otniel Alves Rodrigues Mata ME</t>
  </si>
  <si>
    <t>21.925.019/0001-19</t>
  </si>
  <si>
    <t>Instalação e Implantação com locação de Software destinado a envio de alerta SMS para pacientes OFSYS SMS WEB</t>
  </si>
  <si>
    <t>30.518.595/0001-32</t>
  </si>
  <si>
    <t>Locação de Veículos</t>
  </si>
  <si>
    <t>Promed Santa Angela Comércio e Remoções Ltda</t>
  </si>
  <si>
    <t>67.407.882/0001-85</t>
  </si>
  <si>
    <t>29.582.037/0001-57</t>
  </si>
  <si>
    <t xml:space="preserve">Software destinado Gestão Ambulatorial - Salutem versão WEB </t>
  </si>
  <si>
    <t>Salutem Desenvolvimento e Consultoria Ltda</t>
  </si>
  <si>
    <t>30.886.472/0001-54</t>
  </si>
  <si>
    <t>30.886.563/0001-90</t>
  </si>
  <si>
    <t>Consultas de Dermatologia</t>
  </si>
  <si>
    <t>RELAÇÃO DE CONTRATOS EXECUTADOS EM 2019</t>
  </si>
  <si>
    <t>Stratolav Lavanderia Ltda ME</t>
  </si>
  <si>
    <t>CAM Birigui Alarmes e Sistemas Ltda</t>
  </si>
  <si>
    <t>49.315.906/0001-94</t>
  </si>
  <si>
    <t>Rádio Clube de Araçatuba Ltda</t>
  </si>
  <si>
    <t>02.333.058/0001-82</t>
  </si>
  <si>
    <t>Sistema Regional de Comunicação Andradina Ltda ME</t>
  </si>
  <si>
    <t>Prestação de Serviços de Publicidade</t>
  </si>
  <si>
    <t>27.622.098/0001-75</t>
  </si>
  <si>
    <t>Consulta de Neurologia e Neurologia Pediátrica</t>
  </si>
  <si>
    <t>A C Maldonado Semeghini</t>
  </si>
  <si>
    <t>Alergomell Serviços Médicos Ltda</t>
  </si>
  <si>
    <t>Baptista &amp; Pelliccioni Ortopedia Ltda</t>
  </si>
  <si>
    <t>CEMO - Centro Médico Birigui S/S LTDA</t>
  </si>
  <si>
    <t>Centro de Especialidades Clínica Villela S/C Ltda</t>
  </si>
  <si>
    <t>Wolney Gois Barreto</t>
  </si>
  <si>
    <t>V.M.S.G. Serviços Médicos Ltda EPP</t>
  </si>
  <si>
    <t>V V Serviços Médicos Ltda</t>
  </si>
  <si>
    <t>Uromed Serviços Médicos Eireli ME</t>
  </si>
  <si>
    <t>Patrícia Uchoa Bares</t>
  </si>
  <si>
    <t>Osterlaine Henrique Alves</t>
  </si>
  <si>
    <t>13.001.972/0001-42</t>
  </si>
  <si>
    <t>Serviços com Propaganda e Publicidade</t>
  </si>
  <si>
    <t>Noronha &amp; Noronha Comércio de Gases Ltda EPP</t>
  </si>
  <si>
    <t>Fornecimento de Gases Medicinais</t>
  </si>
  <si>
    <t>Ensite Brasil Telecomunicações Ltda</t>
  </si>
  <si>
    <t>07.729.336/0001-39</t>
  </si>
  <si>
    <t>Serviços de Conexão a Internet e serviços de comunicação Multimidia</t>
  </si>
  <si>
    <t>29.230.701/0001-07</t>
  </si>
  <si>
    <t>RXH Assistência Médica S/S</t>
  </si>
  <si>
    <t xml:space="preserve">Tomiyama Serviços Médicos Eireli </t>
  </si>
  <si>
    <t>Antonio Prestação de Serviços Médicos Eireli</t>
  </si>
  <si>
    <t>Campos Reis Serviços Médicos Ltda</t>
  </si>
  <si>
    <t>Reis Serviços Médicos e Ginecologista</t>
  </si>
  <si>
    <t xml:space="preserve">M M Giampietro Eireli </t>
  </si>
  <si>
    <t>Alessandro Brandini Morandi ME</t>
  </si>
  <si>
    <t>VLN Serviços Médicos Ltda</t>
  </si>
  <si>
    <t>Salutem Soluções Tecnológicas Ltda</t>
  </si>
  <si>
    <t>24.692.918/0001-07</t>
  </si>
  <si>
    <t>11.643.474/0001-78</t>
  </si>
  <si>
    <t>Consultas de Cardiologia e Dermatologia</t>
  </si>
  <si>
    <t>Consultas de  Nefrologia</t>
  </si>
  <si>
    <t>28.157.706/0001-80</t>
  </si>
  <si>
    <t>32.449.443/0001-50</t>
  </si>
  <si>
    <t>Consultas de Obstetrícia</t>
  </si>
  <si>
    <t>Reumasto Clínica Médica Ltda</t>
  </si>
  <si>
    <t>Rogério N C R Serviços Ltda - ME</t>
  </si>
  <si>
    <t>Marson Imagem Ltda</t>
  </si>
  <si>
    <t>31.067.870/0001-01</t>
  </si>
  <si>
    <t>Consultas de Mastologia</t>
  </si>
  <si>
    <t>31.202.330/0001-93</t>
  </si>
  <si>
    <t>Consultas de Ginecologia</t>
  </si>
  <si>
    <t>30.077.727/0001-38</t>
  </si>
  <si>
    <t>Clínica de Ortopedia e Medicina Espec. Dr. Pires Ltda ME</t>
  </si>
  <si>
    <t>Clínica de Especialidades Médica Meneses Melo Ltda</t>
  </si>
  <si>
    <t>Clínica Dermatológica e Cirúrgica Della Coletta Ltda</t>
  </si>
  <si>
    <t>Clínica de Doenças do Coração P Serv. Atend Cardiolog Ltda</t>
  </si>
  <si>
    <t>Clínica Dra Marcela C L Pomberg Ltda</t>
  </si>
  <si>
    <t>Clínica Médica Meneses Melo Ltda</t>
  </si>
  <si>
    <t>Clínica Médica Pazian Feliciano Ltda</t>
  </si>
  <si>
    <t>Clínica Médica Pupio Ltda ME</t>
  </si>
  <si>
    <t>Clínica Médica Rezende Ltda</t>
  </si>
  <si>
    <t>Clínica Ortopédica Santana Ltda</t>
  </si>
  <si>
    <t>Clínica Santos Dumont Prestação de Serviços Médicos Ltda</t>
  </si>
  <si>
    <t>Covello, Loli &amp; Pereira Clínica Médica Ltda</t>
  </si>
  <si>
    <t>Uroclínica Serviços Médicos Ltda - ME</t>
  </si>
  <si>
    <t>Trita Saúde Ltda ME</t>
  </si>
  <si>
    <t>Uberlife Serviços Ltda</t>
  </si>
  <si>
    <t>Suhara &amp; Bortoloti Ltda</t>
  </si>
  <si>
    <t>Serra &amp; Serra Serviços Médicos Ltda</t>
  </si>
  <si>
    <t>Serviço de Anestesiologia de Araçatuba</t>
  </si>
  <si>
    <t>RDF Assistência Médica Hospitalar Ltda</t>
  </si>
  <si>
    <t>Pró Saúde Senra e cola Médicos Associados S/S</t>
  </si>
  <si>
    <t>Neri Shinsato &amp; Cia ltda</t>
  </si>
  <si>
    <t>MGA Serviços Médicos Ltda</t>
  </si>
  <si>
    <t>Medcorpus Clínica Médica Ltda</t>
  </si>
  <si>
    <t>CVP Cirurgia Vascular Periférica Serviços Médicos Ltda</t>
  </si>
  <si>
    <t>DCS Diagnóstico por Imagem Ltda</t>
  </si>
  <si>
    <t>De Angelo Serviços Médicos Ltda</t>
  </si>
  <si>
    <t>Dermclin Clínica Dermatológica Ltda</t>
  </si>
  <si>
    <t>DMB Serviços de Saúde Ltda</t>
  </si>
  <si>
    <t>E V Serviços de Diagnósticos Eireli</t>
  </si>
  <si>
    <t>Eliza Garcia ME</t>
  </si>
  <si>
    <t>Everton Freitas Leivas</t>
  </si>
  <si>
    <t>G &amp; A Yamanari Ltda</t>
  </si>
  <si>
    <t>Godoy Laurenti &amp; Robles Serviços Médicos</t>
  </si>
  <si>
    <t>Hélio Augusto de Camargo Mitidieri Filho</t>
  </si>
  <si>
    <t>Henrique Augusto Cantareira Sabino</t>
  </si>
  <si>
    <t>Hostalácio Gestão em Saúde Ltda</t>
  </si>
  <si>
    <t>Instituto de Cardiologia de Araçatuba Ltda EPP</t>
  </si>
  <si>
    <t>Instituto de Patologia de Araçatuba S/S Ltda</t>
  </si>
  <si>
    <t>Instituto Regional de Endoscopia Ltda ME</t>
  </si>
  <si>
    <t>J. V. Morais Serviços Médicos Eireli</t>
  </si>
  <si>
    <t>JC &amp; Prado Fernandópolis Ltda</t>
  </si>
  <si>
    <t>José Aparecido da Silva Clínica Médica</t>
  </si>
  <si>
    <t>Junqueira Nascimbem &amp; Cia SS Ltda ME</t>
  </si>
  <si>
    <t>Kamimura &amp; Takata Serviços Oftalmológicos Ltda ME</t>
  </si>
  <si>
    <t>Laguna Endocrinologia e Cardiologia Médica Ltda EPP</t>
  </si>
  <si>
    <t>Liberatori Gimael Prestação de Serviços Médicos Ltda</t>
  </si>
  <si>
    <t>LK - Consultório de Cardiologia e Pneumologia Ltda</t>
  </si>
  <si>
    <t>Guizzo Controle de Vetores e Pragas Eireli - EPP</t>
  </si>
  <si>
    <t>22.688.290/0001-70</t>
  </si>
  <si>
    <t>Serviço de Controle de Vetores, pragas, limpeza e Higienização de Caixas d'água</t>
  </si>
  <si>
    <t>Assis Serviços Médicos LTDA</t>
  </si>
  <si>
    <t>15.255.371/000191</t>
  </si>
  <si>
    <t>Consulta de Cirurgia Vascular</t>
  </si>
  <si>
    <t>Centro Regional de Urologia do Noroeste Paulista Ltda - EPP</t>
  </si>
  <si>
    <t>Nogueira &amp; Sousa Serviços Médicos LTDA</t>
  </si>
  <si>
    <t>30.173.910/0001-37</t>
  </si>
  <si>
    <t>Eliziário Barbosa de Siqueira Junior</t>
  </si>
  <si>
    <t>Oxetil Indústria e Comércio de Produtos Esterilizados Eireli EPP</t>
  </si>
  <si>
    <t>74.554.189/0001-09</t>
  </si>
  <si>
    <t>Caetano Oftalmologia Ltda</t>
  </si>
  <si>
    <t>32.396.642/0001-48</t>
  </si>
  <si>
    <t>Consultas de Oftalmologia</t>
  </si>
  <si>
    <t>Terneira &amp; Vicentini Serviços Médicos Ltda</t>
  </si>
  <si>
    <t>12.442.616/0001-00</t>
  </si>
  <si>
    <t>Clínica Toledo Medicina Eireli</t>
  </si>
  <si>
    <t>33.853.733/0001-28</t>
  </si>
  <si>
    <t>Consultas de Reumatologia</t>
  </si>
  <si>
    <t>Gatsu Serviços Médicos Eireli</t>
  </si>
  <si>
    <t>33.431.410/0001-46</t>
  </si>
  <si>
    <t>Consultas de Nefrologia</t>
  </si>
  <si>
    <t>09.719.842/0001-72</t>
  </si>
  <si>
    <t>Consulta de Ginecologia</t>
  </si>
  <si>
    <t>F Soluçoes e Serviços de Tecnologia Ltda</t>
  </si>
  <si>
    <t>Fornecimento de Uniformes</t>
  </si>
  <si>
    <t>Maria Aparecida de Araujo Dias Confecções</t>
  </si>
  <si>
    <t>04.358.620/0001-58</t>
  </si>
  <si>
    <t>Serviço de Confecção de Uniformes</t>
  </si>
  <si>
    <t>Monte Azul Engenharia Ambiental Ltda</t>
  </si>
  <si>
    <t>Clínica Proctoped Ltda</t>
  </si>
  <si>
    <t>Lopes &amp; Lopes Clinica Oftalmologica Ltda</t>
  </si>
  <si>
    <t>Clínica Mitidieri Ata Ltda</t>
  </si>
  <si>
    <t>34.524.259/0001-53</t>
  </si>
  <si>
    <t>32.764.646/0001-31</t>
  </si>
  <si>
    <t>Exame de Colonoscopia</t>
  </si>
  <si>
    <t>33.942.387/0001-54</t>
  </si>
  <si>
    <t>Nascimento e Jerônimo Ltda</t>
  </si>
  <si>
    <t>07.086.661/0001-20</t>
  </si>
  <si>
    <t>07.474.132/0001-32</t>
  </si>
  <si>
    <t>Prestação de Serviços na Locação de Veículos</t>
  </si>
  <si>
    <t>Prestação de Serviços de Esterilização de Materiais</t>
  </si>
  <si>
    <t>total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</si>
</sst>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171" fontId="21" fillId="0" borderId="11" xfId="0" applyNumberFormat="1" applyFont="1" applyFill="1" applyBorder="1" applyAlignment="1">
      <alignment horizontal="center" vertical="center"/>
    </xf>
    <xf numFmtId="171" fontId="22" fillId="0" borderId="11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 wrapText="1"/>
    </xf>
    <xf numFmtId="171" fontId="21" fillId="0" borderId="11" xfId="0" applyNumberFormat="1" applyFont="1" applyFill="1" applyBorder="1" applyAlignment="1">
      <alignment vertical="center" wrapText="1"/>
    </xf>
    <xf numFmtId="171" fontId="22" fillId="0" borderId="11" xfId="0" applyNumberFormat="1" applyFont="1" applyFill="1" applyBorder="1" applyAlignment="1">
      <alignment horizontal="center" vertical="center"/>
    </xf>
    <xf numFmtId="172" fontId="21" fillId="0" borderId="12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0" applyNumberFormat="1" applyFont="1" applyFill="1" applyBorder="1" applyAlignment="1">
      <alignment horizontal="center" vertical="center" wrapText="1"/>
    </xf>
    <xf numFmtId="172" fontId="2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vertical="center"/>
    </xf>
    <xf numFmtId="172" fontId="21" fillId="0" borderId="10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171" fontId="22" fillId="0" borderId="14" xfId="0" applyNumberFormat="1" applyFont="1" applyFill="1" applyBorder="1" applyAlignment="1">
      <alignment horizontal="center" vertical="center"/>
    </xf>
    <xf numFmtId="171" fontId="22" fillId="0" borderId="14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171" fontId="21" fillId="0" borderId="11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14" fontId="21" fillId="0" borderId="11" xfId="0" applyNumberFormat="1" applyFont="1" applyFill="1" applyBorder="1" applyAlignment="1">
      <alignment horizontal="left" vertical="center" wrapText="1"/>
    </xf>
    <xf numFmtId="172" fontId="21" fillId="0" borderId="18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2" fontId="22" fillId="0" borderId="11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22" fillId="0" borderId="0" xfId="50" applyFont="1" applyFill="1" applyAlignment="1">
      <alignment vertical="center"/>
      <protection/>
    </xf>
    <xf numFmtId="0" fontId="22" fillId="0" borderId="0" xfId="50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</xdr:row>
      <xdr:rowOff>9525</xdr:rowOff>
    </xdr:from>
    <xdr:to>
      <xdr:col>7</xdr:col>
      <xdr:colOff>390525</xdr:colOff>
      <xdr:row>6</xdr:row>
      <xdr:rowOff>19050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71450"/>
          <a:ext cx="1638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183"/>
  <sheetViews>
    <sheetView showGridLines="0" tabSelected="1" zoomScale="80" zoomScaleNormal="80" zoomScaleSheetLayoutView="70" workbookViewId="0" topLeftCell="B1">
      <selection activeCell="H22" sqref="H22"/>
    </sheetView>
  </sheetViews>
  <sheetFormatPr defaultColWidth="9.140625" defaultRowHeight="15"/>
  <cols>
    <col min="1" max="1" width="32.7109375" style="2" hidden="1" customWidth="1"/>
    <col min="2" max="2" width="46.00390625" style="5" customWidth="1"/>
    <col min="3" max="3" width="19.28125" style="1" customWidth="1"/>
    <col min="4" max="4" width="57.140625" style="3" customWidth="1"/>
    <col min="5" max="5" width="12.421875" style="1" customWidth="1"/>
    <col min="6" max="6" width="12.28125" style="1" customWidth="1"/>
    <col min="7" max="7" width="13.7109375" style="1" customWidth="1"/>
    <col min="8" max="8" width="14.28125" style="1" customWidth="1"/>
    <col min="9" max="9" width="14.57421875" style="1" customWidth="1"/>
    <col min="10" max="10" width="13.7109375" style="1" customWidth="1"/>
    <col min="11" max="11" width="13.8515625" style="1" customWidth="1"/>
    <col min="12" max="12" width="15.140625" style="1" customWidth="1"/>
    <col min="13" max="16" width="15.28125" style="1" customWidth="1"/>
    <col min="17" max="17" width="15.140625" style="4" customWidth="1"/>
    <col min="18" max="18" width="15.00390625" style="3" bestFit="1" customWidth="1"/>
    <col min="19" max="16384" width="9.140625" style="3" customWidth="1"/>
  </cols>
  <sheetData>
    <row r="2" ht="12.75"/>
    <row r="3" ht="12.75"/>
    <row r="4" ht="12.75"/>
    <row r="5" ht="12.75"/>
    <row r="6" ht="12.75"/>
    <row r="7" ht="12.75"/>
    <row r="8" spans="2:17" ht="12.75">
      <c r="B8" s="6" t="s">
        <v>216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7" ht="12.75">
      <c r="A12" s="8" t="s">
        <v>15</v>
      </c>
      <c r="B12" s="9" t="s">
        <v>16</v>
      </c>
      <c r="C12" s="10" t="s">
        <v>18</v>
      </c>
      <c r="D12" s="9" t="s">
        <v>17</v>
      </c>
      <c r="E12" s="11" t="s">
        <v>2</v>
      </c>
      <c r="F12" s="11" t="s">
        <v>1</v>
      </c>
      <c r="G12" s="11" t="s">
        <v>41</v>
      </c>
      <c r="H12" s="11" t="s">
        <v>42</v>
      </c>
      <c r="I12" s="11" t="s">
        <v>43</v>
      </c>
      <c r="J12" s="11" t="s">
        <v>44</v>
      </c>
      <c r="K12" s="11" t="s">
        <v>45</v>
      </c>
      <c r="L12" s="11" t="s">
        <v>48</v>
      </c>
      <c r="M12" s="11" t="s">
        <v>49</v>
      </c>
      <c r="N12" s="11" t="s">
        <v>50</v>
      </c>
      <c r="O12" s="11" t="s">
        <v>51</v>
      </c>
      <c r="P12" s="11" t="s">
        <v>52</v>
      </c>
      <c r="Q12" s="11" t="s">
        <v>3</v>
      </c>
    </row>
    <row r="13" spans="1:17" ht="12.75">
      <c r="A13" s="12"/>
      <c r="B13" s="9"/>
      <c r="C13" s="10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3"/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2.75">
      <c r="A15" s="7" t="s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17"/>
      <c r="B16" s="18" t="s">
        <v>54</v>
      </c>
      <c r="C16" s="19" t="s">
        <v>68</v>
      </c>
      <c r="D16" s="18" t="s">
        <v>55</v>
      </c>
      <c r="E16" s="20">
        <f>1116.22+757.21</f>
        <v>1873.43</v>
      </c>
      <c r="F16" s="20">
        <f>1116.22+757.21</f>
        <v>1873.43</v>
      </c>
      <c r="G16" s="20">
        <v>1873.43</v>
      </c>
      <c r="H16" s="20">
        <f>1116.22+757.21</f>
        <v>1873.43</v>
      </c>
      <c r="I16" s="20">
        <f>1116.22+757.21</f>
        <v>1873.43</v>
      </c>
      <c r="J16" s="20">
        <f>757.21+1116.22</f>
        <v>1873.43</v>
      </c>
      <c r="K16" s="20">
        <v>1873.43</v>
      </c>
      <c r="L16" s="20">
        <v>1873.43</v>
      </c>
      <c r="M16" s="20">
        <v>1873.43</v>
      </c>
      <c r="N16" s="20">
        <v>1873.43</v>
      </c>
      <c r="O16" s="20">
        <f>1116.22+757.21</f>
        <v>1873.43</v>
      </c>
      <c r="P16" s="20">
        <f>1163.99+789.62</f>
        <v>1953.6100000000001</v>
      </c>
      <c r="Q16" s="21">
        <f>SUM(E16:P16)</f>
        <v>22561.34</v>
      </c>
    </row>
    <row r="17" spans="1:17" ht="12.75">
      <c r="A17" s="22" t="s">
        <v>26</v>
      </c>
      <c r="B17" s="18" t="s">
        <v>56</v>
      </c>
      <c r="C17" s="19" t="s">
        <v>69</v>
      </c>
      <c r="D17" s="23" t="s">
        <v>57</v>
      </c>
      <c r="E17" s="20">
        <f>1383.85+133.5</f>
        <v>1517.35</v>
      </c>
      <c r="F17" s="20">
        <f>1383.85+133.5</f>
        <v>1517.35</v>
      </c>
      <c r="G17" s="20">
        <v>1517.35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1">
        <f aca="true" t="shared" si="0" ref="Q17:Q22">SUM(E17:P17)</f>
        <v>4552.049999999999</v>
      </c>
    </row>
    <row r="18" spans="1:17" ht="12.75">
      <c r="A18" s="22" t="s">
        <v>22</v>
      </c>
      <c r="B18" s="18" t="s">
        <v>142</v>
      </c>
      <c r="C18" s="19" t="s">
        <v>140</v>
      </c>
      <c r="D18" s="18" t="s">
        <v>141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801</v>
      </c>
      <c r="P18" s="20">
        <v>0</v>
      </c>
      <c r="Q18" s="21">
        <f t="shared" si="0"/>
        <v>801</v>
      </c>
    </row>
    <row r="19" spans="1:17" ht="25.5">
      <c r="A19" s="22"/>
      <c r="B19" s="18" t="s">
        <v>163</v>
      </c>
      <c r="C19" s="19" t="s">
        <v>164</v>
      </c>
      <c r="D19" s="23" t="s">
        <v>66</v>
      </c>
      <c r="E19" s="20">
        <v>2298</v>
      </c>
      <c r="F19" s="20">
        <v>2298</v>
      </c>
      <c r="G19" s="20">
        <v>2298</v>
      </c>
      <c r="H19" s="20">
        <v>2298</v>
      </c>
      <c r="I19" s="20">
        <v>2298</v>
      </c>
      <c r="J19" s="20">
        <v>2298</v>
      </c>
      <c r="K19" s="20">
        <v>2298</v>
      </c>
      <c r="L19" s="20">
        <v>2298</v>
      </c>
      <c r="M19" s="20">
        <v>2298</v>
      </c>
      <c r="N19" s="20">
        <v>2298</v>
      </c>
      <c r="O19" s="20">
        <v>2298</v>
      </c>
      <c r="P19" s="20">
        <v>2298</v>
      </c>
      <c r="Q19" s="21">
        <f t="shared" si="0"/>
        <v>27576</v>
      </c>
    </row>
    <row r="20" spans="1:17" ht="12.75">
      <c r="A20" s="22"/>
      <c r="B20" s="18" t="s">
        <v>161</v>
      </c>
      <c r="C20" s="19" t="s">
        <v>162</v>
      </c>
      <c r="D20" s="23" t="s">
        <v>58</v>
      </c>
      <c r="E20" s="20">
        <v>233.23</v>
      </c>
      <c r="F20" s="20">
        <v>233.23</v>
      </c>
      <c r="G20" s="20">
        <v>233.23</v>
      </c>
      <c r="H20" s="20">
        <v>233.23</v>
      </c>
      <c r="I20" s="20">
        <v>252.54</v>
      </c>
      <c r="J20" s="20">
        <v>252.54</v>
      </c>
      <c r="K20" s="20">
        <v>252.54</v>
      </c>
      <c r="L20" s="20">
        <v>252.54</v>
      </c>
      <c r="M20" s="20">
        <v>252.54</v>
      </c>
      <c r="N20" s="20">
        <v>252.54</v>
      </c>
      <c r="O20" s="20">
        <v>252.54</v>
      </c>
      <c r="P20" s="20">
        <v>252.54</v>
      </c>
      <c r="Q20" s="21">
        <f t="shared" si="0"/>
        <v>2953.24</v>
      </c>
    </row>
    <row r="21" spans="1:17" ht="25.5">
      <c r="A21" s="22"/>
      <c r="B21" s="18" t="s">
        <v>203</v>
      </c>
      <c r="C21" s="19" t="s">
        <v>204</v>
      </c>
      <c r="D21" s="23" t="s">
        <v>205</v>
      </c>
      <c r="E21" s="20">
        <v>10750</v>
      </c>
      <c r="F21" s="20">
        <v>10750</v>
      </c>
      <c r="G21" s="20">
        <v>10750</v>
      </c>
      <c r="H21" s="20">
        <v>10750</v>
      </c>
      <c r="I21" s="20">
        <v>10750</v>
      </c>
      <c r="J21" s="20">
        <v>10750</v>
      </c>
      <c r="K21" s="20">
        <v>10750</v>
      </c>
      <c r="L21" s="20">
        <v>10750</v>
      </c>
      <c r="M21" s="20">
        <v>10750</v>
      </c>
      <c r="N21" s="20">
        <v>10750</v>
      </c>
      <c r="O21" s="20">
        <v>10750</v>
      </c>
      <c r="P21" s="20">
        <v>10750</v>
      </c>
      <c r="Q21" s="21">
        <f t="shared" si="0"/>
        <v>129000</v>
      </c>
    </row>
    <row r="22" spans="1:17" ht="12.75">
      <c r="A22" s="22"/>
      <c r="B22" s="18" t="s">
        <v>253</v>
      </c>
      <c r="C22" s="19" t="s">
        <v>210</v>
      </c>
      <c r="D22" s="23" t="s">
        <v>211</v>
      </c>
      <c r="E22" s="20">
        <v>14300</v>
      </c>
      <c r="F22" s="20">
        <v>14300</v>
      </c>
      <c r="G22" s="20">
        <v>14300</v>
      </c>
      <c r="H22" s="20">
        <f>14300+599</f>
        <v>14899</v>
      </c>
      <c r="I22" s="20">
        <v>14899</v>
      </c>
      <c r="J22" s="20">
        <v>14899</v>
      </c>
      <c r="K22" s="20">
        <v>14899</v>
      </c>
      <c r="L22" s="20">
        <v>14899</v>
      </c>
      <c r="M22" s="20">
        <v>14899</v>
      </c>
      <c r="N22" s="20">
        <v>14899</v>
      </c>
      <c r="O22" s="20">
        <v>14899</v>
      </c>
      <c r="P22" s="20">
        <v>14899</v>
      </c>
      <c r="Q22" s="21">
        <f t="shared" si="0"/>
        <v>176991</v>
      </c>
    </row>
    <row r="23" spans="1:17" ht="12.75">
      <c r="A23" s="22"/>
      <c r="B23" s="9" t="s">
        <v>0</v>
      </c>
      <c r="C23" s="9"/>
      <c r="D23" s="9"/>
      <c r="E23" s="24">
        <f aca="true" t="shared" si="1" ref="E23:P23">SUM(E16:E22)</f>
        <v>30972.01</v>
      </c>
      <c r="F23" s="24">
        <f t="shared" si="1"/>
        <v>30972.01</v>
      </c>
      <c r="G23" s="24">
        <f t="shared" si="1"/>
        <v>30972.01</v>
      </c>
      <c r="H23" s="24">
        <f t="shared" si="1"/>
        <v>30053.66</v>
      </c>
      <c r="I23" s="24">
        <f t="shared" si="1"/>
        <v>30072.97</v>
      </c>
      <c r="J23" s="24">
        <f t="shared" si="1"/>
        <v>30072.97</v>
      </c>
      <c r="K23" s="24">
        <f t="shared" si="1"/>
        <v>30072.97</v>
      </c>
      <c r="L23" s="24">
        <f t="shared" si="1"/>
        <v>30072.97</v>
      </c>
      <c r="M23" s="24">
        <f t="shared" si="1"/>
        <v>30072.97</v>
      </c>
      <c r="N23" s="24">
        <f t="shared" si="1"/>
        <v>30072.97</v>
      </c>
      <c r="O23" s="24">
        <f t="shared" si="1"/>
        <v>30873.97</v>
      </c>
      <c r="P23" s="24">
        <f t="shared" si="1"/>
        <v>30153.15</v>
      </c>
      <c r="Q23" s="21">
        <f>SUM(E23:P23)</f>
        <v>364434.63</v>
      </c>
    </row>
    <row r="24" spans="1:17" ht="12.75">
      <c r="A24" s="25"/>
      <c r="B24" s="14"/>
      <c r="C24" s="14"/>
      <c r="D24" s="1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28" customFormat="1" ht="12.75">
      <c r="A25" s="7" t="s">
        <v>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12.75">
      <c r="A26" s="17" t="s">
        <v>23</v>
      </c>
      <c r="B26" s="18" t="s">
        <v>6</v>
      </c>
      <c r="C26" s="29" t="s">
        <v>70</v>
      </c>
      <c r="D26" s="23" t="s">
        <v>24</v>
      </c>
      <c r="E26" s="30">
        <v>540</v>
      </c>
      <c r="F26" s="30">
        <v>540</v>
      </c>
      <c r="G26" s="30">
        <v>540</v>
      </c>
      <c r="H26" s="30">
        <v>540</v>
      </c>
      <c r="I26" s="30">
        <v>540</v>
      </c>
      <c r="J26" s="30">
        <v>540</v>
      </c>
      <c r="K26" s="30">
        <v>540</v>
      </c>
      <c r="L26" s="30">
        <v>540</v>
      </c>
      <c r="M26" s="30">
        <v>540</v>
      </c>
      <c r="N26" s="30">
        <v>540</v>
      </c>
      <c r="O26" s="30">
        <v>554.9</v>
      </c>
      <c r="P26" s="30">
        <v>569.03</v>
      </c>
      <c r="Q26" s="21">
        <f>SUM(E26:P26)</f>
        <v>6523.929999999999</v>
      </c>
    </row>
    <row r="27" spans="1:17" ht="12.75">
      <c r="A27" s="22"/>
      <c r="B27" s="9" t="s">
        <v>0</v>
      </c>
      <c r="C27" s="9"/>
      <c r="D27" s="9"/>
      <c r="E27" s="24">
        <f aca="true" t="shared" si="2" ref="E27:P27">SUM(E26:E26)</f>
        <v>540</v>
      </c>
      <c r="F27" s="24">
        <f t="shared" si="2"/>
        <v>540</v>
      </c>
      <c r="G27" s="24">
        <f t="shared" si="2"/>
        <v>540</v>
      </c>
      <c r="H27" s="24">
        <f t="shared" si="2"/>
        <v>540</v>
      </c>
      <c r="I27" s="24">
        <f t="shared" si="2"/>
        <v>540</v>
      </c>
      <c r="J27" s="24">
        <f t="shared" si="2"/>
        <v>540</v>
      </c>
      <c r="K27" s="24">
        <f t="shared" si="2"/>
        <v>540</v>
      </c>
      <c r="L27" s="24">
        <f t="shared" si="2"/>
        <v>540</v>
      </c>
      <c r="M27" s="24">
        <f t="shared" si="2"/>
        <v>540</v>
      </c>
      <c r="N27" s="24">
        <f t="shared" si="2"/>
        <v>540</v>
      </c>
      <c r="O27" s="24">
        <f t="shared" si="2"/>
        <v>554.9</v>
      </c>
      <c r="P27" s="24">
        <f t="shared" si="2"/>
        <v>569.03</v>
      </c>
      <c r="Q27" s="21">
        <f>SUM(E27:P27)</f>
        <v>6523.929999999999</v>
      </c>
    </row>
    <row r="28" spans="1:17" s="28" customFormat="1" ht="12.75">
      <c r="A28" s="31"/>
      <c r="B28" s="14"/>
      <c r="C28" s="14"/>
      <c r="D28" s="1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</row>
    <row r="29" spans="1:17" s="28" customFormat="1" ht="12.75">
      <c r="A29" s="32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0" customHeight="1">
      <c r="A30" s="22"/>
      <c r="B30" s="18" t="s">
        <v>226</v>
      </c>
      <c r="C30" s="19" t="s">
        <v>190</v>
      </c>
      <c r="D30" s="18" t="s">
        <v>191</v>
      </c>
      <c r="E30" s="20">
        <v>8800</v>
      </c>
      <c r="F30" s="20">
        <v>7600</v>
      </c>
      <c r="G30" s="20">
        <v>6800</v>
      </c>
      <c r="H30" s="20">
        <v>8800</v>
      </c>
      <c r="I30" s="20">
        <v>8800</v>
      </c>
      <c r="J30" s="20">
        <v>7600</v>
      </c>
      <c r="K30" s="20">
        <v>8400</v>
      </c>
      <c r="L30" s="20">
        <v>8400</v>
      </c>
      <c r="M30" s="20">
        <v>8400</v>
      </c>
      <c r="N30" s="20">
        <v>9200</v>
      </c>
      <c r="O30" s="20">
        <v>7600</v>
      </c>
      <c r="P30" s="20">
        <v>8000</v>
      </c>
      <c r="Q30" s="21">
        <f aca="true" t="shared" si="3" ref="Q30:Q104">SUM(E30:P30)</f>
        <v>98400</v>
      </c>
    </row>
    <row r="31" spans="1:17" ht="30" customHeight="1">
      <c r="A31" s="22"/>
      <c r="B31" s="18" t="s">
        <v>227</v>
      </c>
      <c r="C31" s="19" t="s">
        <v>206</v>
      </c>
      <c r="D31" s="18" t="s">
        <v>108</v>
      </c>
      <c r="E31" s="20">
        <v>1080.6</v>
      </c>
      <c r="F31" s="20">
        <v>3125.13</v>
      </c>
      <c r="G31" s="20">
        <v>2211.2</v>
      </c>
      <c r="H31" s="20">
        <v>2586.2</v>
      </c>
      <c r="I31" s="20">
        <v>2266.2</v>
      </c>
      <c r="J31" s="20">
        <v>2211.2</v>
      </c>
      <c r="K31" s="20">
        <v>2671.2</v>
      </c>
      <c r="L31" s="20">
        <v>2369.53</v>
      </c>
      <c r="M31" s="20">
        <v>2736.2</v>
      </c>
      <c r="N31" s="20">
        <v>2152.87</v>
      </c>
      <c r="O31" s="20">
        <v>2186.2</v>
      </c>
      <c r="P31" s="20">
        <v>2036.2</v>
      </c>
      <c r="Q31" s="21">
        <f t="shared" si="3"/>
        <v>27632.73</v>
      </c>
    </row>
    <row r="32" spans="1:17" ht="30" customHeight="1">
      <c r="A32" s="22"/>
      <c r="B32" s="18" t="s">
        <v>247</v>
      </c>
      <c r="C32" s="19" t="s">
        <v>268</v>
      </c>
      <c r="D32" s="18" t="s">
        <v>260</v>
      </c>
      <c r="E32" s="20">
        <v>0</v>
      </c>
      <c r="F32" s="20">
        <v>9427.5</v>
      </c>
      <c r="G32" s="20">
        <v>11362.5</v>
      </c>
      <c r="H32" s="20">
        <v>10945</v>
      </c>
      <c r="I32" s="20">
        <v>11337.5</v>
      </c>
      <c r="J32" s="20">
        <v>12095</v>
      </c>
      <c r="K32" s="20">
        <v>11140</v>
      </c>
      <c r="L32" s="20">
        <v>11525</v>
      </c>
      <c r="M32" s="20">
        <v>8255</v>
      </c>
      <c r="N32" s="20">
        <v>11380</v>
      </c>
      <c r="O32" s="20">
        <v>9337.5</v>
      </c>
      <c r="P32" s="20">
        <v>8925</v>
      </c>
      <c r="Q32" s="21">
        <f t="shared" si="3"/>
        <v>115730</v>
      </c>
    </row>
    <row r="33" spans="1:17" ht="30" customHeight="1">
      <c r="A33" s="22"/>
      <c r="B33" s="18" t="s">
        <v>251</v>
      </c>
      <c r="C33" s="19" t="s">
        <v>136</v>
      </c>
      <c r="D33" s="18" t="s">
        <v>151</v>
      </c>
      <c r="E33" s="20">
        <v>3850</v>
      </c>
      <c r="F33" s="20">
        <v>4600</v>
      </c>
      <c r="G33" s="20">
        <v>3450</v>
      </c>
      <c r="H33" s="20">
        <v>5350</v>
      </c>
      <c r="I33" s="20">
        <v>5150</v>
      </c>
      <c r="J33" s="20">
        <v>3905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1">
        <f t="shared" si="3"/>
        <v>26305</v>
      </c>
    </row>
    <row r="34" spans="1:17" ht="30" customHeight="1">
      <c r="A34" s="22"/>
      <c r="B34" s="18" t="s">
        <v>319</v>
      </c>
      <c r="C34" s="19" t="s">
        <v>320</v>
      </c>
      <c r="D34" s="18" t="s">
        <v>321</v>
      </c>
      <c r="E34" s="20">
        <v>0</v>
      </c>
      <c r="F34" s="20">
        <v>0</v>
      </c>
      <c r="G34" s="20">
        <v>0</v>
      </c>
      <c r="H34" s="20">
        <v>2416.9</v>
      </c>
      <c r="I34" s="20">
        <v>2134.4</v>
      </c>
      <c r="J34" s="20">
        <v>3201.6</v>
      </c>
      <c r="K34" s="20">
        <v>4268.8</v>
      </c>
      <c r="L34" s="20">
        <v>5336</v>
      </c>
      <c r="M34" s="20">
        <v>0</v>
      </c>
      <c r="N34" s="20">
        <v>3226.6</v>
      </c>
      <c r="O34" s="20">
        <v>2334.4</v>
      </c>
      <c r="P34" s="20">
        <v>3501.6</v>
      </c>
      <c r="Q34" s="21">
        <f t="shared" si="3"/>
        <v>26420.3</v>
      </c>
    </row>
    <row r="35" spans="1:17" ht="30" customHeight="1">
      <c r="A35" s="22"/>
      <c r="B35" s="18" t="s">
        <v>228</v>
      </c>
      <c r="C35" s="19" t="s">
        <v>145</v>
      </c>
      <c r="D35" s="18" t="s">
        <v>111</v>
      </c>
      <c r="E35" s="20">
        <v>3480</v>
      </c>
      <c r="F35" s="20">
        <v>3180</v>
      </c>
      <c r="G35" s="20">
        <v>3150</v>
      </c>
      <c r="H35" s="20">
        <v>3422.5</v>
      </c>
      <c r="I35" s="20">
        <f>2162.5+450</f>
        <v>2612.5</v>
      </c>
      <c r="J35" s="20">
        <v>3227.5</v>
      </c>
      <c r="K35" s="20">
        <v>2920</v>
      </c>
      <c r="L35" s="20">
        <v>2760</v>
      </c>
      <c r="M35" s="20">
        <v>2867.5</v>
      </c>
      <c r="N35" s="20">
        <v>3090</v>
      </c>
      <c r="O35" s="20">
        <v>2740</v>
      </c>
      <c r="P35" s="20">
        <v>3375</v>
      </c>
      <c r="Q35" s="21">
        <f t="shared" si="3"/>
        <v>36825</v>
      </c>
    </row>
    <row r="36" spans="1:17" ht="30" customHeight="1">
      <c r="A36" s="22"/>
      <c r="B36" s="18" t="s">
        <v>328</v>
      </c>
      <c r="C36" s="19" t="s">
        <v>329</v>
      </c>
      <c r="D36" s="18" t="s">
        <v>330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43155.93</v>
      </c>
      <c r="M36" s="20">
        <v>47932.42</v>
      </c>
      <c r="N36" s="20">
        <v>72277.27</v>
      </c>
      <c r="O36" s="20">
        <v>1898.7</v>
      </c>
      <c r="P36" s="20">
        <v>61257.65</v>
      </c>
      <c r="Q36" s="21">
        <f t="shared" si="3"/>
        <v>226521.97</v>
      </c>
    </row>
    <row r="37" spans="1:17" ht="30" customHeight="1">
      <c r="A37" s="22"/>
      <c r="B37" s="18" t="s">
        <v>248</v>
      </c>
      <c r="C37" s="19" t="s">
        <v>266</v>
      </c>
      <c r="D37" s="18" t="s">
        <v>267</v>
      </c>
      <c r="E37" s="20">
        <v>0</v>
      </c>
      <c r="F37" s="20">
        <f>6251.5+8095</f>
        <v>14346.5</v>
      </c>
      <c r="G37" s="20">
        <f>7530+9490.5</f>
        <v>17020.5</v>
      </c>
      <c r="H37" s="20">
        <f>6111+7597.5</f>
        <v>13708.5</v>
      </c>
      <c r="I37" s="20">
        <f>6042.5+6300</f>
        <v>12342.5</v>
      </c>
      <c r="J37" s="20">
        <f>5180+7081.5</f>
        <v>12261.5</v>
      </c>
      <c r="K37" s="20">
        <f>6012.5+8433</f>
        <v>14445.5</v>
      </c>
      <c r="L37" s="20">
        <f>8470+5675</f>
        <v>14145</v>
      </c>
      <c r="M37" s="20">
        <f>5095+10007</f>
        <v>15102</v>
      </c>
      <c r="N37" s="20">
        <f>7600+7816.5</f>
        <v>15416.5</v>
      </c>
      <c r="O37" s="20">
        <f>6671+7800</f>
        <v>14471</v>
      </c>
      <c r="P37" s="20">
        <f>4920+5764</f>
        <v>10684</v>
      </c>
      <c r="Q37" s="21">
        <f t="shared" si="3"/>
        <v>153943.5</v>
      </c>
    </row>
    <row r="38" spans="1:17" ht="30" customHeight="1">
      <c r="A38" s="22"/>
      <c r="B38" s="18" t="s">
        <v>229</v>
      </c>
      <c r="C38" s="19" t="s">
        <v>195</v>
      </c>
      <c r="D38" s="18" t="s">
        <v>105</v>
      </c>
      <c r="E38" s="20">
        <v>12460</v>
      </c>
      <c r="F38" s="20">
        <v>10235</v>
      </c>
      <c r="G38" s="20">
        <v>9940</v>
      </c>
      <c r="H38" s="20">
        <v>11825</v>
      </c>
      <c r="I38" s="20">
        <v>13275</v>
      </c>
      <c r="J38" s="20">
        <v>9480</v>
      </c>
      <c r="K38" s="20">
        <v>8400</v>
      </c>
      <c r="L38" s="20">
        <v>13760</v>
      </c>
      <c r="M38" s="20">
        <v>11510</v>
      </c>
      <c r="N38" s="20">
        <v>11415</v>
      </c>
      <c r="O38" s="20">
        <v>8610</v>
      </c>
      <c r="P38" s="20">
        <v>6710</v>
      </c>
      <c r="Q38" s="21">
        <f t="shared" si="3"/>
        <v>127620</v>
      </c>
    </row>
    <row r="39" spans="1:17" ht="30" customHeight="1">
      <c r="A39" s="22"/>
      <c r="B39" s="18" t="s">
        <v>230</v>
      </c>
      <c r="C39" s="29" t="s">
        <v>71</v>
      </c>
      <c r="D39" s="18" t="s">
        <v>186</v>
      </c>
      <c r="E39" s="20">
        <v>910</v>
      </c>
      <c r="F39" s="20">
        <v>880</v>
      </c>
      <c r="G39" s="20">
        <f>882.5+1350</f>
        <v>2232.5</v>
      </c>
      <c r="H39" s="20">
        <f>895+4990</f>
        <v>5885</v>
      </c>
      <c r="I39" s="20">
        <f>907.5+5765</f>
        <v>6672.5</v>
      </c>
      <c r="J39" s="20">
        <f>940+4490</f>
        <v>5430</v>
      </c>
      <c r="K39" s="20">
        <f>4410+895</f>
        <v>5305</v>
      </c>
      <c r="L39" s="20">
        <f>895+6310</f>
        <v>7205</v>
      </c>
      <c r="M39" s="20">
        <f>925+2810</f>
        <v>3735</v>
      </c>
      <c r="N39" s="20">
        <f>1130+6795</f>
        <v>7925</v>
      </c>
      <c r="O39" s="20">
        <f>6187.5+675</f>
        <v>6862.5</v>
      </c>
      <c r="P39" s="20">
        <f>6185+675</f>
        <v>6860</v>
      </c>
      <c r="Q39" s="21">
        <f t="shared" si="3"/>
        <v>59902.5</v>
      </c>
    </row>
    <row r="40" spans="1:17" ht="30" customHeight="1">
      <c r="A40" s="22"/>
      <c r="B40" s="18" t="s">
        <v>322</v>
      </c>
      <c r="C40" s="29" t="s">
        <v>72</v>
      </c>
      <c r="D40" s="18" t="s">
        <v>106</v>
      </c>
      <c r="E40" s="20">
        <f>5720+4120</f>
        <v>9840</v>
      </c>
      <c r="F40" s="20">
        <f>4840+3920</f>
        <v>8760</v>
      </c>
      <c r="G40" s="20">
        <f>3205+4400</f>
        <v>7605</v>
      </c>
      <c r="H40" s="20">
        <f>3107.5+4077.5</f>
        <v>7185</v>
      </c>
      <c r="I40" s="20">
        <f>2640+4120</f>
        <v>6760</v>
      </c>
      <c r="J40" s="20">
        <v>2640</v>
      </c>
      <c r="K40" s="20">
        <f>3080</f>
        <v>3080</v>
      </c>
      <c r="L40" s="20">
        <v>0</v>
      </c>
      <c r="M40" s="20"/>
      <c r="N40" s="20">
        <v>0</v>
      </c>
      <c r="O40" s="20">
        <v>0</v>
      </c>
      <c r="P40" s="20">
        <v>0</v>
      </c>
      <c r="Q40" s="21">
        <f t="shared" si="3"/>
        <v>45870</v>
      </c>
    </row>
    <row r="41" spans="1:17" ht="30" customHeight="1">
      <c r="A41" s="22"/>
      <c r="B41" s="18" t="s">
        <v>270</v>
      </c>
      <c r="C41" s="19" t="s">
        <v>214</v>
      </c>
      <c r="D41" s="18" t="s">
        <v>215</v>
      </c>
      <c r="E41" s="20">
        <v>19830</v>
      </c>
      <c r="F41" s="20">
        <v>21570</v>
      </c>
      <c r="G41" s="20">
        <v>21220</v>
      </c>
      <c r="H41" s="20">
        <v>23942.5</v>
      </c>
      <c r="I41" s="20">
        <v>28630</v>
      </c>
      <c r="J41" s="20">
        <v>24667.5</v>
      </c>
      <c r="K41" s="20">
        <v>22672.5</v>
      </c>
      <c r="L41" s="20">
        <v>18565</v>
      </c>
      <c r="M41" s="20">
        <v>21275</v>
      </c>
      <c r="N41" s="20">
        <v>19820</v>
      </c>
      <c r="O41" s="20">
        <v>20760</v>
      </c>
      <c r="P41" s="20">
        <v>17822.5</v>
      </c>
      <c r="Q41" s="21">
        <f t="shared" si="3"/>
        <v>260775</v>
      </c>
    </row>
    <row r="42" spans="1:17" ht="30" customHeight="1">
      <c r="A42" s="22"/>
      <c r="B42" s="18" t="s">
        <v>269</v>
      </c>
      <c r="C42" s="29" t="s">
        <v>75</v>
      </c>
      <c r="D42" s="18" t="s">
        <v>109</v>
      </c>
      <c r="E42" s="20">
        <v>1320</v>
      </c>
      <c r="F42" s="20">
        <v>1980</v>
      </c>
      <c r="G42" s="20">
        <v>1980</v>
      </c>
      <c r="H42" s="20">
        <v>1320</v>
      </c>
      <c r="I42" s="20">
        <v>1980</v>
      </c>
      <c r="J42" s="20">
        <v>1980</v>
      </c>
      <c r="K42" s="20">
        <v>1980</v>
      </c>
      <c r="L42" s="20">
        <v>1800</v>
      </c>
      <c r="M42" s="20">
        <v>1800</v>
      </c>
      <c r="N42" s="20">
        <v>1980</v>
      </c>
      <c r="O42" s="20">
        <v>1980</v>
      </c>
      <c r="P42" s="20">
        <v>1320</v>
      </c>
      <c r="Q42" s="21">
        <f t="shared" si="3"/>
        <v>21420</v>
      </c>
    </row>
    <row r="43" spans="1:17" ht="30" customHeight="1">
      <c r="A43" s="22"/>
      <c r="B43" s="18" t="s">
        <v>271</v>
      </c>
      <c r="C43" s="19" t="s">
        <v>147</v>
      </c>
      <c r="D43" s="18" t="s">
        <v>158</v>
      </c>
      <c r="E43" s="20">
        <v>6082.5</v>
      </c>
      <c r="F43" s="20">
        <v>3560</v>
      </c>
      <c r="G43" s="20">
        <v>5100</v>
      </c>
      <c r="H43" s="20">
        <v>1970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1">
        <f t="shared" si="3"/>
        <v>16712.5</v>
      </c>
    </row>
    <row r="44" spans="1:17" ht="30" customHeight="1">
      <c r="A44" s="22"/>
      <c r="B44" s="18" t="s">
        <v>272</v>
      </c>
      <c r="C44" s="29" t="s">
        <v>73</v>
      </c>
      <c r="D44" s="18" t="s">
        <v>104</v>
      </c>
      <c r="E44" s="20">
        <f>12495+4510</f>
        <v>17005</v>
      </c>
      <c r="F44" s="20">
        <f>4270+12050</f>
        <v>16320</v>
      </c>
      <c r="G44" s="20">
        <f>13510+4755</f>
        <v>18265</v>
      </c>
      <c r="H44" s="20">
        <f>13860+5305</f>
        <v>19165</v>
      </c>
      <c r="I44" s="20">
        <f>5415+15495</f>
        <v>20910</v>
      </c>
      <c r="J44" s="20">
        <f>5570+14225</f>
        <v>19795</v>
      </c>
      <c r="K44" s="20">
        <f>13512.5+7000</f>
        <v>20512.5</v>
      </c>
      <c r="L44" s="20">
        <f>11300+7715</f>
        <v>19015</v>
      </c>
      <c r="M44" s="20">
        <f>9177.5+6465</f>
        <v>15642.5</v>
      </c>
      <c r="N44" s="20">
        <f>8290+5720</f>
        <v>14010</v>
      </c>
      <c r="O44" s="20">
        <f>9160+5150</f>
        <v>14310</v>
      </c>
      <c r="P44" s="20">
        <f>11425+5610</f>
        <v>17035</v>
      </c>
      <c r="Q44" s="21">
        <f t="shared" si="3"/>
        <v>211985</v>
      </c>
    </row>
    <row r="45" spans="1:17" ht="30" customHeight="1">
      <c r="A45" s="22"/>
      <c r="B45" s="18" t="s">
        <v>273</v>
      </c>
      <c r="C45" s="19" t="s">
        <v>76</v>
      </c>
      <c r="D45" s="18" t="s">
        <v>187</v>
      </c>
      <c r="E45" s="20">
        <v>87668.72</v>
      </c>
      <c r="F45" s="20">
        <v>82802.66</v>
      </c>
      <c r="G45" s="20">
        <v>91670.69</v>
      </c>
      <c r="H45" s="20">
        <v>95129.86</v>
      </c>
      <c r="I45" s="20">
        <v>141677.68</v>
      </c>
      <c r="J45" s="20">
        <v>141253.65</v>
      </c>
      <c r="K45" s="20">
        <v>141978.17</v>
      </c>
      <c r="L45" s="20">
        <v>58492.7</v>
      </c>
      <c r="M45" s="20">
        <v>61736.05</v>
      </c>
      <c r="N45" s="20">
        <v>65526.78</v>
      </c>
      <c r="O45" s="20">
        <v>49360.7</v>
      </c>
      <c r="P45" s="20">
        <v>0</v>
      </c>
      <c r="Q45" s="21">
        <f t="shared" si="3"/>
        <v>1017297.66</v>
      </c>
    </row>
    <row r="46" spans="1:17" ht="30" customHeight="1">
      <c r="A46" s="22"/>
      <c r="B46" s="18" t="s">
        <v>274</v>
      </c>
      <c r="C46" s="19" t="s">
        <v>213</v>
      </c>
      <c r="D46" s="18" t="s">
        <v>119</v>
      </c>
      <c r="E46" s="20">
        <v>6600</v>
      </c>
      <c r="F46" s="20">
        <v>7796.67</v>
      </c>
      <c r="G46" s="20">
        <v>10400</v>
      </c>
      <c r="H46" s="20">
        <v>11533.33</v>
      </c>
      <c r="I46" s="20">
        <v>12636.67</v>
      </c>
      <c r="J46" s="20">
        <v>11243.33</v>
      </c>
      <c r="K46" s="20">
        <v>11243.33</v>
      </c>
      <c r="L46" s="20">
        <v>11206.67</v>
      </c>
      <c r="M46" s="20">
        <v>9766.67</v>
      </c>
      <c r="N46" s="20">
        <v>12300</v>
      </c>
      <c r="O46" s="20">
        <v>12783.33</v>
      </c>
      <c r="P46" s="20">
        <v>14066.67</v>
      </c>
      <c r="Q46" s="21">
        <f t="shared" si="3"/>
        <v>131576.67</v>
      </c>
    </row>
    <row r="47" spans="1:17" ht="30" customHeight="1">
      <c r="A47" s="22"/>
      <c r="B47" s="18" t="s">
        <v>275</v>
      </c>
      <c r="C47" s="19" t="s">
        <v>78</v>
      </c>
      <c r="D47" s="18" t="s">
        <v>112</v>
      </c>
      <c r="E47" s="20">
        <f>4399.99+720</f>
        <v>5119.99</v>
      </c>
      <c r="F47" s="20">
        <f>735+4399.99</f>
        <v>5134.99</v>
      </c>
      <c r="G47" s="20">
        <f>1995+4399.99</f>
        <v>6394.99</v>
      </c>
      <c r="H47" s="20">
        <f>4845.83+910</f>
        <v>5755.83</v>
      </c>
      <c r="I47" s="20">
        <f>1130+4399.99</f>
        <v>5529.99</v>
      </c>
      <c r="J47" s="20">
        <f>940+4399.99</f>
        <v>5339.99</v>
      </c>
      <c r="K47" s="20">
        <f>440+3299.99</f>
        <v>3739.99</v>
      </c>
      <c r="L47" s="20">
        <f>910+5133.32</f>
        <v>6043.32</v>
      </c>
      <c r="M47" s="20">
        <f>4399.99+910</f>
        <v>5309.99</v>
      </c>
      <c r="N47" s="20">
        <f>4399.99+910</f>
        <v>5309.99</v>
      </c>
      <c r="O47" s="20">
        <f>3666.66+910</f>
        <v>4576.66</v>
      </c>
      <c r="P47" s="20">
        <f>910+4399.99</f>
        <v>5309.99</v>
      </c>
      <c r="Q47" s="21">
        <f t="shared" si="3"/>
        <v>63565.719999999994</v>
      </c>
    </row>
    <row r="48" spans="1:17" ht="30" customHeight="1">
      <c r="A48" s="22"/>
      <c r="B48" s="18" t="s">
        <v>276</v>
      </c>
      <c r="C48" s="19" t="s">
        <v>188</v>
      </c>
      <c r="D48" s="18" t="s">
        <v>189</v>
      </c>
      <c r="E48" s="20">
        <v>12422</v>
      </c>
      <c r="F48" s="20">
        <v>13022.5</v>
      </c>
      <c r="G48" s="20">
        <v>15000.5</v>
      </c>
      <c r="H48" s="20">
        <v>16857</v>
      </c>
      <c r="I48" s="20">
        <v>15916</v>
      </c>
      <c r="J48" s="20">
        <v>14262</v>
      </c>
      <c r="K48" s="20">
        <v>13650.5</v>
      </c>
      <c r="L48" s="20">
        <v>12761</v>
      </c>
      <c r="M48" s="20">
        <v>13324</v>
      </c>
      <c r="N48" s="20">
        <v>13795.5</v>
      </c>
      <c r="O48" s="20">
        <v>20620</v>
      </c>
      <c r="P48" s="20">
        <v>16819</v>
      </c>
      <c r="Q48" s="21">
        <f t="shared" si="3"/>
        <v>178450</v>
      </c>
    </row>
    <row r="49" spans="1:17" ht="30" customHeight="1">
      <c r="A49" s="22"/>
      <c r="B49" s="18" t="s">
        <v>277</v>
      </c>
      <c r="C49" s="19" t="s">
        <v>74</v>
      </c>
      <c r="D49" s="18" t="s">
        <v>156</v>
      </c>
      <c r="E49" s="20">
        <v>975</v>
      </c>
      <c r="F49" s="20">
        <v>1050</v>
      </c>
      <c r="G49" s="20">
        <v>900</v>
      </c>
      <c r="H49" s="20">
        <v>825</v>
      </c>
      <c r="I49" s="20">
        <v>750</v>
      </c>
      <c r="J49" s="20">
        <v>500</v>
      </c>
      <c r="K49" s="20">
        <v>725</v>
      </c>
      <c r="L49" s="20">
        <v>0</v>
      </c>
      <c r="M49" s="20">
        <v>1108.33</v>
      </c>
      <c r="N49" s="20">
        <v>500</v>
      </c>
      <c r="O49" s="20">
        <v>400</v>
      </c>
      <c r="P49" s="20">
        <v>708.33</v>
      </c>
      <c r="Q49" s="21">
        <f t="shared" si="3"/>
        <v>8441.66</v>
      </c>
    </row>
    <row r="50" spans="1:17" ht="30" customHeight="1">
      <c r="A50" s="22"/>
      <c r="B50" s="18" t="s">
        <v>349</v>
      </c>
      <c r="C50" s="19" t="s">
        <v>350</v>
      </c>
      <c r="D50" s="18" t="s">
        <v>111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v>0</v>
      </c>
      <c r="P50" s="20">
        <v>6312.5</v>
      </c>
      <c r="Q50" s="21">
        <f t="shared" si="3"/>
        <v>6312.5</v>
      </c>
    </row>
    <row r="51" spans="1:17" ht="30" customHeight="1">
      <c r="A51" s="22"/>
      <c r="B51" s="18" t="s">
        <v>278</v>
      </c>
      <c r="C51" s="19" t="s">
        <v>79</v>
      </c>
      <c r="D51" s="18" t="s">
        <v>111</v>
      </c>
      <c r="E51" s="20">
        <v>18140</v>
      </c>
      <c r="F51" s="20">
        <v>19067.5</v>
      </c>
      <c r="G51" s="20">
        <v>19112.5</v>
      </c>
      <c r="H51" s="20">
        <v>20202.5</v>
      </c>
      <c r="I51" s="20">
        <v>17525</v>
      </c>
      <c r="J51" s="20">
        <v>16970</v>
      </c>
      <c r="K51" s="20">
        <v>7727.5</v>
      </c>
      <c r="L51" s="20">
        <v>7117.5</v>
      </c>
      <c r="M51" s="20">
        <v>15667.5</v>
      </c>
      <c r="N51" s="20">
        <v>14275</v>
      </c>
      <c r="O51" s="20">
        <v>14635</v>
      </c>
      <c r="P51" s="20">
        <v>14767.5</v>
      </c>
      <c r="Q51" s="21">
        <f t="shared" si="3"/>
        <v>185207.5</v>
      </c>
    </row>
    <row r="52" spans="1:17" ht="30" customHeight="1">
      <c r="A52" s="22"/>
      <c r="B52" s="18" t="s">
        <v>347</v>
      </c>
      <c r="C52" s="19" t="s">
        <v>351</v>
      </c>
      <c r="D52" s="18" t="s">
        <v>352</v>
      </c>
      <c r="E52" s="20"/>
      <c r="F52" s="20"/>
      <c r="G52" s="20"/>
      <c r="H52" s="20"/>
      <c r="I52" s="20"/>
      <c r="J52" s="20"/>
      <c r="K52" s="20"/>
      <c r="L52" s="20"/>
      <c r="M52" s="20"/>
      <c r="N52" s="20">
        <v>0</v>
      </c>
      <c r="O52" s="20">
        <v>12771.6</v>
      </c>
      <c r="P52" s="20">
        <v>22313.2</v>
      </c>
      <c r="Q52" s="21">
        <f t="shared" si="3"/>
        <v>35084.8</v>
      </c>
    </row>
    <row r="53" spans="1:17" ht="30" customHeight="1">
      <c r="A53" s="22"/>
      <c r="B53" s="18" t="s">
        <v>176</v>
      </c>
      <c r="C53" s="19" t="s">
        <v>178</v>
      </c>
      <c r="D53" s="18" t="s">
        <v>180</v>
      </c>
      <c r="E53" s="20">
        <v>9110</v>
      </c>
      <c r="F53" s="20">
        <v>8690</v>
      </c>
      <c r="G53" s="20">
        <v>7145</v>
      </c>
      <c r="H53" s="20">
        <v>10010</v>
      </c>
      <c r="I53" s="20">
        <v>7910</v>
      </c>
      <c r="J53" s="20">
        <v>8825</v>
      </c>
      <c r="K53" s="20">
        <v>9812.5</v>
      </c>
      <c r="L53" s="20">
        <v>7610</v>
      </c>
      <c r="M53" s="20">
        <v>6250</v>
      </c>
      <c r="N53" s="20">
        <v>6310</v>
      </c>
      <c r="O53" s="20">
        <v>7070</v>
      </c>
      <c r="P53" s="20">
        <v>8260</v>
      </c>
      <c r="Q53" s="21">
        <f t="shared" si="3"/>
        <v>97002.5</v>
      </c>
    </row>
    <row r="54" spans="1:17" ht="30" customHeight="1">
      <c r="A54" s="22"/>
      <c r="B54" s="18" t="s">
        <v>279</v>
      </c>
      <c r="C54" s="29" t="s">
        <v>80</v>
      </c>
      <c r="D54" s="18" t="s">
        <v>104</v>
      </c>
      <c r="E54" s="20">
        <v>11765</v>
      </c>
      <c r="F54" s="20">
        <v>7285</v>
      </c>
      <c r="G54" s="20">
        <v>8335</v>
      </c>
      <c r="H54" s="20">
        <v>10450</v>
      </c>
      <c r="I54" s="20">
        <v>10800</v>
      </c>
      <c r="J54" s="20">
        <v>8675</v>
      </c>
      <c r="K54" s="20">
        <v>7172.5</v>
      </c>
      <c r="L54" s="20">
        <v>7527.5</v>
      </c>
      <c r="M54" s="20">
        <v>7180</v>
      </c>
      <c r="N54" s="20">
        <v>7225</v>
      </c>
      <c r="O54" s="20">
        <v>6305</v>
      </c>
      <c r="P54" s="20">
        <v>6265</v>
      </c>
      <c r="Q54" s="21">
        <f t="shared" si="3"/>
        <v>98985</v>
      </c>
    </row>
    <row r="55" spans="1:17" ht="30" customHeight="1">
      <c r="A55" s="22"/>
      <c r="B55" s="18" t="s">
        <v>333</v>
      </c>
      <c r="C55" s="29" t="s">
        <v>334</v>
      </c>
      <c r="D55" s="18" t="s">
        <v>335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3630</v>
      </c>
      <c r="M55" s="20">
        <v>4450</v>
      </c>
      <c r="N55" s="20">
        <v>5005</v>
      </c>
      <c r="O55" s="20">
        <v>2695</v>
      </c>
      <c r="P55" s="20">
        <v>3850</v>
      </c>
      <c r="Q55" s="21">
        <f t="shared" si="3"/>
        <v>19630</v>
      </c>
    </row>
    <row r="56" spans="1:17" ht="30" customHeight="1">
      <c r="A56" s="22"/>
      <c r="B56" s="18" t="s">
        <v>280</v>
      </c>
      <c r="C56" s="19" t="s">
        <v>193</v>
      </c>
      <c r="D56" s="18" t="s">
        <v>119</v>
      </c>
      <c r="E56" s="20">
        <v>3850</v>
      </c>
      <c r="F56" s="20">
        <v>3630</v>
      </c>
      <c r="G56" s="20">
        <v>3630</v>
      </c>
      <c r="H56" s="20">
        <v>5280</v>
      </c>
      <c r="I56" s="20">
        <v>6380</v>
      </c>
      <c r="J56" s="20">
        <v>6160</v>
      </c>
      <c r="K56" s="20">
        <v>7076.67</v>
      </c>
      <c r="L56" s="20">
        <v>6563.33</v>
      </c>
      <c r="M56" s="20">
        <v>6600</v>
      </c>
      <c r="N56" s="20">
        <v>6673.33</v>
      </c>
      <c r="O56" s="20">
        <v>6160</v>
      </c>
      <c r="P56" s="20">
        <v>4840</v>
      </c>
      <c r="Q56" s="21">
        <f t="shared" si="3"/>
        <v>66843.33</v>
      </c>
    </row>
    <row r="57" spans="1:17" ht="30" customHeight="1">
      <c r="A57" s="22"/>
      <c r="B57" s="18" t="s">
        <v>292</v>
      </c>
      <c r="C57" s="29" t="s">
        <v>81</v>
      </c>
      <c r="D57" s="18" t="s">
        <v>113</v>
      </c>
      <c r="E57" s="20">
        <v>19760</v>
      </c>
      <c r="F57" s="20">
        <v>20400</v>
      </c>
      <c r="G57" s="20">
        <v>19007.5</v>
      </c>
      <c r="H57" s="20">
        <v>20830</v>
      </c>
      <c r="I57" s="20">
        <v>20290</v>
      </c>
      <c r="J57" s="20">
        <v>20660</v>
      </c>
      <c r="K57" s="20">
        <v>20930</v>
      </c>
      <c r="L57" s="20">
        <v>22835</v>
      </c>
      <c r="M57" s="20">
        <v>20102.5</v>
      </c>
      <c r="N57" s="20">
        <v>20615</v>
      </c>
      <c r="O57" s="20">
        <v>18267.5</v>
      </c>
      <c r="P57" s="20">
        <v>18757.5</v>
      </c>
      <c r="Q57" s="21">
        <f t="shared" si="3"/>
        <v>242455</v>
      </c>
    </row>
    <row r="58" spans="1:17" ht="30" customHeight="1">
      <c r="A58" s="22"/>
      <c r="B58" s="18" t="s">
        <v>293</v>
      </c>
      <c r="C58" s="19" t="s">
        <v>46</v>
      </c>
      <c r="D58" s="18" t="s">
        <v>114</v>
      </c>
      <c r="E58" s="20">
        <f>50097.4+43.6</f>
        <v>50141</v>
      </c>
      <c r="F58" s="20">
        <v>50371.7</v>
      </c>
      <c r="G58" s="20">
        <v>50029.1</v>
      </c>
      <c r="H58" s="20">
        <v>50048.2</v>
      </c>
      <c r="I58" s="20">
        <v>50101.9</v>
      </c>
      <c r="J58" s="20">
        <v>50027.6</v>
      </c>
      <c r="K58" s="20">
        <v>50098.6</v>
      </c>
      <c r="L58" s="20">
        <v>50083.4</v>
      </c>
      <c r="M58" s="20">
        <v>50024.7</v>
      </c>
      <c r="N58" s="20">
        <v>46396.6</v>
      </c>
      <c r="O58" s="20">
        <v>50088.3</v>
      </c>
      <c r="P58" s="20">
        <v>50032.2</v>
      </c>
      <c r="Q58" s="21">
        <f t="shared" si="3"/>
        <v>597443.2999999999</v>
      </c>
    </row>
    <row r="59" spans="1:17" ht="30" customHeight="1">
      <c r="A59" s="22"/>
      <c r="B59" s="18" t="s">
        <v>294</v>
      </c>
      <c r="C59" s="19" t="s">
        <v>199</v>
      </c>
      <c r="D59" s="18" t="s">
        <v>197</v>
      </c>
      <c r="E59" s="20">
        <v>6090</v>
      </c>
      <c r="F59" s="20">
        <v>4165</v>
      </c>
      <c r="G59" s="20">
        <v>4445</v>
      </c>
      <c r="H59" s="20">
        <v>4690</v>
      </c>
      <c r="I59" s="20">
        <v>4410</v>
      </c>
      <c r="J59" s="20">
        <v>3150</v>
      </c>
      <c r="K59" s="20">
        <v>4620</v>
      </c>
      <c r="L59" s="20">
        <v>5600</v>
      </c>
      <c r="M59" s="20">
        <v>3115</v>
      </c>
      <c r="N59" s="20">
        <v>4165</v>
      </c>
      <c r="O59" s="20">
        <v>3325</v>
      </c>
      <c r="P59" s="20">
        <v>3290</v>
      </c>
      <c r="Q59" s="21">
        <f t="shared" si="3"/>
        <v>51065</v>
      </c>
    </row>
    <row r="60" spans="1:17" ht="30" customHeight="1">
      <c r="A60" s="22"/>
      <c r="B60" s="18" t="s">
        <v>295</v>
      </c>
      <c r="C60" s="19" t="s">
        <v>82</v>
      </c>
      <c r="D60" s="18" t="s">
        <v>115</v>
      </c>
      <c r="E60" s="20">
        <f>7490+7477.5</f>
        <v>14967.5</v>
      </c>
      <c r="F60" s="20">
        <f>9430+9362.5</f>
        <v>18792.5</v>
      </c>
      <c r="G60" s="20">
        <f>9180+9080</f>
        <v>18260</v>
      </c>
      <c r="H60" s="20">
        <f>9340+9445</f>
        <v>18785</v>
      </c>
      <c r="I60" s="20">
        <f>11850+11945</f>
        <v>23795</v>
      </c>
      <c r="J60" s="20">
        <f>9017.5+8460</f>
        <v>17477.5</v>
      </c>
      <c r="K60" s="20">
        <f>6700+6742.5</f>
        <v>13442.5</v>
      </c>
      <c r="L60" s="20">
        <f>8657.5+8852.5</f>
        <v>17510</v>
      </c>
      <c r="M60" s="20">
        <f>8467.5+8777.5</f>
        <v>17245</v>
      </c>
      <c r="N60" s="20">
        <f>8025+8435</f>
        <v>16460</v>
      </c>
      <c r="O60" s="20">
        <f>9052.5+8820</f>
        <v>17872.5</v>
      </c>
      <c r="P60" s="20">
        <f>7740+7767.5</f>
        <v>15507.5</v>
      </c>
      <c r="Q60" s="21">
        <f t="shared" si="3"/>
        <v>210115</v>
      </c>
    </row>
    <row r="61" spans="1:17" ht="30" customHeight="1">
      <c r="A61" s="22"/>
      <c r="B61" s="18" t="s">
        <v>296</v>
      </c>
      <c r="C61" s="19" t="s">
        <v>83</v>
      </c>
      <c r="D61" s="18" t="s">
        <v>116</v>
      </c>
      <c r="E61" s="20">
        <v>6125</v>
      </c>
      <c r="F61" s="20">
        <v>5800</v>
      </c>
      <c r="G61" s="20">
        <v>7137.5</v>
      </c>
      <c r="H61" s="20">
        <v>6475</v>
      </c>
      <c r="I61" s="20">
        <v>5530</v>
      </c>
      <c r="J61" s="20">
        <v>6680</v>
      </c>
      <c r="K61" s="20">
        <v>5637.5</v>
      </c>
      <c r="L61" s="20">
        <v>6855</v>
      </c>
      <c r="M61" s="20">
        <v>5125</v>
      </c>
      <c r="N61" s="20">
        <v>6150</v>
      </c>
      <c r="O61" s="20">
        <v>0</v>
      </c>
      <c r="P61" s="20">
        <v>0</v>
      </c>
      <c r="Q61" s="21">
        <f t="shared" si="3"/>
        <v>61515</v>
      </c>
    </row>
    <row r="62" spans="1:17" ht="30" customHeight="1">
      <c r="A62" s="22"/>
      <c r="B62" s="18" t="s">
        <v>325</v>
      </c>
      <c r="C62" s="19" t="s">
        <v>339</v>
      </c>
      <c r="D62" s="18" t="s">
        <v>340</v>
      </c>
      <c r="E62" s="20">
        <v>0</v>
      </c>
      <c r="F62" s="20">
        <v>0</v>
      </c>
      <c r="G62" s="20">
        <v>0</v>
      </c>
      <c r="H62" s="20">
        <v>0</v>
      </c>
      <c r="I62" s="20">
        <v>702.6</v>
      </c>
      <c r="J62" s="20">
        <v>1510.2</v>
      </c>
      <c r="K62" s="20">
        <v>1585.2</v>
      </c>
      <c r="L62" s="20">
        <v>1707.7</v>
      </c>
      <c r="M62" s="20">
        <v>1405.2</v>
      </c>
      <c r="N62" s="20">
        <v>1405.2</v>
      </c>
      <c r="O62" s="20">
        <v>1652.7</v>
      </c>
      <c r="P62" s="20">
        <v>1405.2</v>
      </c>
      <c r="Q62" s="21">
        <f t="shared" si="3"/>
        <v>11374.000000000002</v>
      </c>
    </row>
    <row r="63" spans="1:17" ht="30" customHeight="1">
      <c r="A63" s="22"/>
      <c r="B63" s="18" t="s">
        <v>297</v>
      </c>
      <c r="C63" s="19" t="s">
        <v>135</v>
      </c>
      <c r="D63" s="18" t="s">
        <v>150</v>
      </c>
      <c r="E63" s="20">
        <v>29904</v>
      </c>
      <c r="F63" s="20">
        <v>28836</v>
      </c>
      <c r="G63" s="20">
        <v>29548</v>
      </c>
      <c r="H63" s="20">
        <v>27768</v>
      </c>
      <c r="I63" s="20">
        <v>28124</v>
      </c>
      <c r="J63" s="20">
        <v>30616</v>
      </c>
      <c r="K63" s="20">
        <v>29192</v>
      </c>
      <c r="L63" s="20">
        <v>27768</v>
      </c>
      <c r="M63" s="20">
        <v>28480</v>
      </c>
      <c r="N63" s="20">
        <v>27768</v>
      </c>
      <c r="O63" s="20">
        <v>26700</v>
      </c>
      <c r="P63" s="20">
        <v>29548</v>
      </c>
      <c r="Q63" s="21">
        <f t="shared" si="3"/>
        <v>344252</v>
      </c>
    </row>
    <row r="64" spans="1:17" ht="30" customHeight="1">
      <c r="A64" s="22"/>
      <c r="B64" s="18" t="s">
        <v>298</v>
      </c>
      <c r="C64" s="19" t="s">
        <v>84</v>
      </c>
      <c r="D64" s="18" t="s">
        <v>117</v>
      </c>
      <c r="E64" s="20">
        <v>3760</v>
      </c>
      <c r="F64" s="20">
        <v>2910</v>
      </c>
      <c r="G64" s="20">
        <v>2040</v>
      </c>
      <c r="H64" s="20">
        <v>2910</v>
      </c>
      <c r="I64" s="20">
        <v>1890</v>
      </c>
      <c r="J64" s="20">
        <v>2160</v>
      </c>
      <c r="K64" s="20">
        <v>2370</v>
      </c>
      <c r="L64" s="20">
        <v>3300</v>
      </c>
      <c r="M64" s="20">
        <v>2250</v>
      </c>
      <c r="N64" s="20">
        <v>3060</v>
      </c>
      <c r="O64" s="20">
        <v>2130</v>
      </c>
      <c r="P64" s="20">
        <v>2910</v>
      </c>
      <c r="Q64" s="21">
        <f t="shared" si="3"/>
        <v>31690</v>
      </c>
    </row>
    <row r="65" spans="1:17" ht="30" customHeight="1">
      <c r="A65" s="22"/>
      <c r="B65" s="18" t="s">
        <v>299</v>
      </c>
      <c r="C65" s="19" t="s">
        <v>200</v>
      </c>
      <c r="D65" s="23" t="s">
        <v>197</v>
      </c>
      <c r="E65" s="20">
        <v>6990</v>
      </c>
      <c r="F65" s="20">
        <v>5245</v>
      </c>
      <c r="G65" s="20">
        <v>7920</v>
      </c>
      <c r="H65" s="20">
        <v>7400</v>
      </c>
      <c r="I65" s="20">
        <v>7430</v>
      </c>
      <c r="J65" s="20">
        <v>6805</v>
      </c>
      <c r="K65" s="20">
        <v>10490</v>
      </c>
      <c r="L65" s="20">
        <v>9845</v>
      </c>
      <c r="M65" s="20">
        <v>8435</v>
      </c>
      <c r="N65" s="20">
        <v>9515</v>
      </c>
      <c r="O65" s="20">
        <v>7585</v>
      </c>
      <c r="P65" s="20">
        <v>8115</v>
      </c>
      <c r="Q65" s="21">
        <f t="shared" si="3"/>
        <v>95775</v>
      </c>
    </row>
    <row r="66" spans="1:17" ht="30" customHeight="1">
      <c r="A66" s="22"/>
      <c r="B66" s="18" t="s">
        <v>300</v>
      </c>
      <c r="C66" s="19" t="s">
        <v>85</v>
      </c>
      <c r="D66" s="18" t="s">
        <v>108</v>
      </c>
      <c r="E66" s="20">
        <v>2696.27</v>
      </c>
      <c r="F66" s="20">
        <v>4042.73</v>
      </c>
      <c r="G66" s="20">
        <v>3326.07</v>
      </c>
      <c r="H66" s="20">
        <v>5585.87</v>
      </c>
      <c r="I66" s="20">
        <v>4605.87</v>
      </c>
      <c r="J66" s="20">
        <v>5310.87</v>
      </c>
      <c r="K66" s="20">
        <v>6585.67</v>
      </c>
      <c r="L66" s="20">
        <v>6630.67</v>
      </c>
      <c r="M66" s="20">
        <v>3039.6</v>
      </c>
      <c r="N66" s="20">
        <v>6480.87</v>
      </c>
      <c r="O66" s="20">
        <v>5980.67</v>
      </c>
      <c r="P66" s="20">
        <v>4396.07</v>
      </c>
      <c r="Q66" s="21">
        <f t="shared" si="3"/>
        <v>58681.229999999996</v>
      </c>
    </row>
    <row r="67" spans="1:17" ht="30" customHeight="1">
      <c r="A67" s="22"/>
      <c r="B67" s="18" t="s">
        <v>336</v>
      </c>
      <c r="C67" s="19" t="s">
        <v>337</v>
      </c>
      <c r="D67" s="18" t="s">
        <v>338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880</v>
      </c>
      <c r="M67" s="20">
        <v>1320</v>
      </c>
      <c r="N67" s="20">
        <v>400</v>
      </c>
      <c r="O67" s="20">
        <v>687.5</v>
      </c>
      <c r="P67" s="20">
        <v>440</v>
      </c>
      <c r="Q67" s="21">
        <f t="shared" si="3"/>
        <v>3727.5</v>
      </c>
    </row>
    <row r="68" spans="1:17" ht="30" customHeight="1">
      <c r="A68" s="22"/>
      <c r="B68" s="18" t="s">
        <v>301</v>
      </c>
      <c r="C68" s="19" t="s">
        <v>137</v>
      </c>
      <c r="D68" s="18" t="s">
        <v>152</v>
      </c>
      <c r="E68" s="20">
        <v>2094.4</v>
      </c>
      <c r="F68" s="20">
        <v>5461</v>
      </c>
      <c r="G68" s="20">
        <v>3856.6</v>
      </c>
      <c r="H68" s="20">
        <v>3636.6</v>
      </c>
      <c r="I68" s="20">
        <v>1212.2</v>
      </c>
      <c r="J68" s="20">
        <v>772.2</v>
      </c>
      <c r="K68" s="20">
        <v>1924.4</v>
      </c>
      <c r="L68" s="20">
        <v>3136.6</v>
      </c>
      <c r="M68" s="20">
        <v>3136.6</v>
      </c>
      <c r="N68" s="20">
        <v>4048.8</v>
      </c>
      <c r="O68" s="20">
        <v>3136.6</v>
      </c>
      <c r="P68" s="20">
        <v>3348.8</v>
      </c>
      <c r="Q68" s="21">
        <f t="shared" si="3"/>
        <v>35764.799999999996</v>
      </c>
    </row>
    <row r="69" spans="1:17" ht="30" customHeight="1">
      <c r="A69" s="22"/>
      <c r="B69" s="18" t="s">
        <v>302</v>
      </c>
      <c r="C69" s="19" t="s">
        <v>77</v>
      </c>
      <c r="D69" s="23" t="s">
        <v>111</v>
      </c>
      <c r="E69" s="20">
        <v>10680</v>
      </c>
      <c r="F69" s="20">
        <v>11630</v>
      </c>
      <c r="G69" s="20">
        <v>9805</v>
      </c>
      <c r="H69" s="20">
        <v>14515</v>
      </c>
      <c r="I69" s="20">
        <v>11592.5</v>
      </c>
      <c r="J69" s="20">
        <v>8927.5</v>
      </c>
      <c r="K69" s="20">
        <v>11412.5</v>
      </c>
      <c r="L69" s="20">
        <v>12617.5</v>
      </c>
      <c r="M69" s="20">
        <v>9550</v>
      </c>
      <c r="N69" s="20">
        <v>9732.5</v>
      </c>
      <c r="O69" s="20">
        <v>8340</v>
      </c>
      <c r="P69" s="20">
        <v>0</v>
      </c>
      <c r="Q69" s="21">
        <f t="shared" si="3"/>
        <v>118802.5</v>
      </c>
    </row>
    <row r="70" spans="1:17" ht="30" customHeight="1">
      <c r="A70" s="22"/>
      <c r="B70" s="18" t="s">
        <v>303</v>
      </c>
      <c r="C70" s="29" t="s">
        <v>184</v>
      </c>
      <c r="D70" s="18" t="s">
        <v>185</v>
      </c>
      <c r="E70" s="20">
        <v>3440</v>
      </c>
      <c r="F70" s="20">
        <v>5000</v>
      </c>
      <c r="G70" s="20">
        <v>4565</v>
      </c>
      <c r="H70" s="20">
        <v>4180</v>
      </c>
      <c r="I70" s="20">
        <v>4337.5</v>
      </c>
      <c r="J70" s="20">
        <v>3860</v>
      </c>
      <c r="K70" s="20">
        <v>5052.5</v>
      </c>
      <c r="L70" s="20">
        <v>3137.5</v>
      </c>
      <c r="M70" s="20">
        <v>3415</v>
      </c>
      <c r="N70" s="20">
        <v>2990</v>
      </c>
      <c r="O70" s="20">
        <v>2850</v>
      </c>
      <c r="P70" s="20">
        <v>1560</v>
      </c>
      <c r="Q70" s="21">
        <f t="shared" si="3"/>
        <v>44387.5</v>
      </c>
    </row>
    <row r="71" spans="1:17" ht="30" customHeight="1">
      <c r="A71" s="22"/>
      <c r="B71" s="18" t="s">
        <v>304</v>
      </c>
      <c r="C71" s="19" t="s">
        <v>86</v>
      </c>
      <c r="D71" s="18" t="s">
        <v>104</v>
      </c>
      <c r="E71" s="20">
        <v>6660</v>
      </c>
      <c r="F71" s="20">
        <v>8770</v>
      </c>
      <c r="G71" s="20">
        <v>7630</v>
      </c>
      <c r="H71" s="20">
        <v>8370</v>
      </c>
      <c r="I71" s="20">
        <v>8090</v>
      </c>
      <c r="J71" s="20">
        <v>8020</v>
      </c>
      <c r="K71" s="20">
        <v>5610</v>
      </c>
      <c r="L71" s="20">
        <v>10640</v>
      </c>
      <c r="M71" s="20">
        <v>8240</v>
      </c>
      <c r="N71" s="20">
        <v>7920</v>
      </c>
      <c r="O71" s="20">
        <v>4720</v>
      </c>
      <c r="P71" s="20">
        <v>0</v>
      </c>
      <c r="Q71" s="21">
        <f t="shared" si="3"/>
        <v>84670</v>
      </c>
    </row>
    <row r="72" spans="1:17" ht="30" customHeight="1">
      <c r="A72" s="22"/>
      <c r="B72" s="18" t="s">
        <v>305</v>
      </c>
      <c r="C72" s="19" t="s">
        <v>87</v>
      </c>
      <c r="D72" s="18" t="s">
        <v>104</v>
      </c>
      <c r="E72" s="20">
        <v>3640</v>
      </c>
      <c r="F72" s="20">
        <v>3080</v>
      </c>
      <c r="G72" s="20">
        <v>2730</v>
      </c>
      <c r="H72" s="20">
        <v>3360</v>
      </c>
      <c r="I72" s="20">
        <v>3640</v>
      </c>
      <c r="J72" s="20">
        <v>3430</v>
      </c>
      <c r="K72" s="20">
        <v>3500</v>
      </c>
      <c r="L72" s="20">
        <v>3010</v>
      </c>
      <c r="M72" s="20">
        <v>2940</v>
      </c>
      <c r="N72" s="20">
        <v>3290</v>
      </c>
      <c r="O72" s="20">
        <v>3080</v>
      </c>
      <c r="P72" s="20">
        <v>3150</v>
      </c>
      <c r="Q72" s="21">
        <f>SUM(E72:P72)</f>
        <v>38850</v>
      </c>
    </row>
    <row r="73" spans="1:17" ht="30" customHeight="1">
      <c r="A73" s="22"/>
      <c r="B73" s="18" t="s">
        <v>306</v>
      </c>
      <c r="C73" s="19" t="s">
        <v>88</v>
      </c>
      <c r="D73" s="18" t="s">
        <v>118</v>
      </c>
      <c r="E73" s="20">
        <v>27144.58</v>
      </c>
      <c r="F73" s="20">
        <v>25082.67</v>
      </c>
      <c r="G73" s="20">
        <v>22899.22</v>
      </c>
      <c r="H73" s="20">
        <v>30977.23</v>
      </c>
      <c r="I73" s="20">
        <v>27716.06</v>
      </c>
      <c r="J73" s="20">
        <v>33905.17</v>
      </c>
      <c r="K73" s="20">
        <v>26539.94</v>
      </c>
      <c r="L73" s="20">
        <v>19725.02</v>
      </c>
      <c r="M73" s="20">
        <v>23347.63</v>
      </c>
      <c r="N73" s="20">
        <v>23222.77</v>
      </c>
      <c r="O73" s="20">
        <v>17582.7</v>
      </c>
      <c r="P73" s="20">
        <v>14408.5</v>
      </c>
      <c r="Q73" s="21">
        <f t="shared" si="3"/>
        <v>292551.49</v>
      </c>
    </row>
    <row r="74" spans="1:17" ht="30" customHeight="1">
      <c r="A74" s="22"/>
      <c r="B74" s="18" t="s">
        <v>307</v>
      </c>
      <c r="C74" s="19" t="s">
        <v>89</v>
      </c>
      <c r="D74" s="18" t="s">
        <v>104</v>
      </c>
      <c r="E74" s="20">
        <v>41870</v>
      </c>
      <c r="F74" s="20">
        <v>42890</v>
      </c>
      <c r="G74" s="20">
        <v>41030</v>
      </c>
      <c r="H74" s="20">
        <v>41730</v>
      </c>
      <c r="I74" s="20">
        <v>44090</v>
      </c>
      <c r="J74" s="20">
        <v>43100</v>
      </c>
      <c r="K74" s="20">
        <v>42270</v>
      </c>
      <c r="L74" s="20">
        <v>35280</v>
      </c>
      <c r="M74" s="20">
        <v>44620</v>
      </c>
      <c r="N74" s="20">
        <v>0</v>
      </c>
      <c r="O74" s="20">
        <v>34190</v>
      </c>
      <c r="P74" s="20"/>
      <c r="Q74" s="21">
        <f>SUM(E74:P74)</f>
        <v>411070</v>
      </c>
    </row>
    <row r="75" spans="1:17" ht="30" customHeight="1">
      <c r="A75" s="22"/>
      <c r="B75" s="18" t="s">
        <v>308</v>
      </c>
      <c r="C75" s="19" t="s">
        <v>194</v>
      </c>
      <c r="D75" s="18" t="s">
        <v>112</v>
      </c>
      <c r="E75" s="20">
        <v>1500</v>
      </c>
      <c r="F75" s="20">
        <v>1980</v>
      </c>
      <c r="G75" s="20">
        <v>1650</v>
      </c>
      <c r="H75" s="20">
        <v>3050</v>
      </c>
      <c r="I75" s="20">
        <v>1650</v>
      </c>
      <c r="J75" s="20">
        <v>4335</v>
      </c>
      <c r="K75" s="20">
        <v>4995</v>
      </c>
      <c r="L75" s="20">
        <v>5850</v>
      </c>
      <c r="M75" s="20">
        <v>4950</v>
      </c>
      <c r="N75" s="20">
        <v>5182.5</v>
      </c>
      <c r="O75" s="20">
        <v>4550</v>
      </c>
      <c r="P75" s="20">
        <v>4315</v>
      </c>
      <c r="Q75" s="21">
        <f t="shared" si="3"/>
        <v>44007.5</v>
      </c>
    </row>
    <row r="76" spans="1:17" ht="30" customHeight="1">
      <c r="A76" s="22"/>
      <c r="B76" s="18" t="s">
        <v>309</v>
      </c>
      <c r="C76" s="19" t="s">
        <v>168</v>
      </c>
      <c r="D76" s="18" t="s">
        <v>179</v>
      </c>
      <c r="E76" s="20">
        <v>6209</v>
      </c>
      <c r="F76" s="20">
        <v>6044</v>
      </c>
      <c r="G76" s="20">
        <v>7575</v>
      </c>
      <c r="H76" s="20">
        <v>5468</v>
      </c>
      <c r="I76" s="20">
        <v>5599</v>
      </c>
      <c r="J76" s="20">
        <v>4113</v>
      </c>
      <c r="K76" s="20">
        <v>4143</v>
      </c>
      <c r="L76" s="20">
        <v>7590</v>
      </c>
      <c r="M76" s="20">
        <v>4113</v>
      </c>
      <c r="N76" s="20">
        <v>5128</v>
      </c>
      <c r="O76" s="20">
        <v>5388</v>
      </c>
      <c r="P76" s="20">
        <v>3217</v>
      </c>
      <c r="Q76" s="21">
        <f t="shared" si="3"/>
        <v>64587</v>
      </c>
    </row>
    <row r="77" spans="1:17" ht="30" customHeight="1">
      <c r="A77" s="22"/>
      <c r="B77" s="18" t="s">
        <v>310</v>
      </c>
      <c r="C77" s="19" t="s">
        <v>90</v>
      </c>
      <c r="D77" s="18" t="s">
        <v>120</v>
      </c>
      <c r="E77" s="20">
        <v>7120</v>
      </c>
      <c r="F77" s="20">
        <v>7712.5</v>
      </c>
      <c r="G77" s="20">
        <v>7680</v>
      </c>
      <c r="H77" s="20">
        <v>8390</v>
      </c>
      <c r="I77" s="20">
        <v>7320</v>
      </c>
      <c r="J77" s="20">
        <v>6730</v>
      </c>
      <c r="K77" s="20">
        <v>6327.5</v>
      </c>
      <c r="L77" s="20">
        <v>7607.5</v>
      </c>
      <c r="M77" s="20">
        <v>7020</v>
      </c>
      <c r="N77" s="20">
        <v>7120</v>
      </c>
      <c r="O77" s="20">
        <v>7020</v>
      </c>
      <c r="P77" s="20">
        <v>6670</v>
      </c>
      <c r="Q77" s="21">
        <f t="shared" si="3"/>
        <v>86717.5</v>
      </c>
    </row>
    <row r="78" spans="1:17" ht="30" customHeight="1">
      <c r="A78" s="22"/>
      <c r="B78" s="18" t="s">
        <v>311</v>
      </c>
      <c r="C78" s="19" t="s">
        <v>177</v>
      </c>
      <c r="D78" s="18" t="s">
        <v>153</v>
      </c>
      <c r="E78" s="20">
        <v>2434.4</v>
      </c>
      <c r="F78" s="20">
        <v>2534.4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/>
      <c r="N78" s="20">
        <v>0</v>
      </c>
      <c r="O78" s="20">
        <v>0</v>
      </c>
      <c r="P78" s="20">
        <v>0</v>
      </c>
      <c r="Q78" s="21">
        <f t="shared" si="3"/>
        <v>4968.8</v>
      </c>
    </row>
    <row r="79" spans="1:17" ht="30" customHeight="1">
      <c r="A79" s="22"/>
      <c r="B79" s="18" t="s">
        <v>312</v>
      </c>
      <c r="C79" s="29" t="s">
        <v>92</v>
      </c>
      <c r="D79" s="18" t="s">
        <v>187</v>
      </c>
      <c r="E79" s="20">
        <f>6836.75+6106</f>
        <v>12942.75</v>
      </c>
      <c r="F79" s="20">
        <f>5894.4+5219.5</f>
        <v>11113.9</v>
      </c>
      <c r="G79" s="20">
        <f>5005+7367.2</f>
        <v>12372.2</v>
      </c>
      <c r="H79" s="20">
        <f>5326.75+5346.8</f>
        <v>10673.55</v>
      </c>
      <c r="I79" s="20">
        <f>7971.35+5484</f>
        <v>13455.35</v>
      </c>
      <c r="J79" s="20">
        <f>6102.5+6045.05</f>
        <v>12147.55</v>
      </c>
      <c r="K79" s="20">
        <f>5152.5+7070</f>
        <v>12222.5</v>
      </c>
      <c r="L79" s="20">
        <f>8211.75+6404</f>
        <v>14615.75</v>
      </c>
      <c r="M79" s="20">
        <f>5555.25+4187.15</f>
        <v>9742.4</v>
      </c>
      <c r="N79" s="20">
        <f>5060.55+5602</f>
        <v>10662.55</v>
      </c>
      <c r="O79" s="20">
        <f>2860+3047.4</f>
        <v>5907.4</v>
      </c>
      <c r="P79" s="20">
        <f>3432+2245</f>
        <v>5677</v>
      </c>
      <c r="Q79" s="21">
        <f t="shared" si="3"/>
        <v>131532.9</v>
      </c>
    </row>
    <row r="80" spans="1:17" ht="30" customHeight="1">
      <c r="A80" s="22"/>
      <c r="B80" s="18" t="s">
        <v>313</v>
      </c>
      <c r="C80" s="19" t="s">
        <v>165</v>
      </c>
      <c r="D80" s="18" t="s">
        <v>152</v>
      </c>
      <c r="E80" s="20">
        <v>5436.4</v>
      </c>
      <c r="F80" s="20">
        <v>1408.8</v>
      </c>
      <c r="G80" s="20">
        <v>1408.8</v>
      </c>
      <c r="H80" s="20">
        <v>3184.27</v>
      </c>
      <c r="I80" s="20">
        <v>2597.6</v>
      </c>
      <c r="J80" s="20">
        <v>1848.8</v>
      </c>
      <c r="K80" s="20">
        <v>5415.2</v>
      </c>
      <c r="L80" s="20">
        <v>2817.6</v>
      </c>
      <c r="M80" s="20">
        <v>1408.8</v>
      </c>
      <c r="N80" s="20">
        <v>1042.13</v>
      </c>
      <c r="O80" s="20">
        <v>1408.8</v>
      </c>
      <c r="P80" s="20">
        <v>2577.6</v>
      </c>
      <c r="Q80" s="21">
        <f t="shared" si="3"/>
        <v>30554.799999999996</v>
      </c>
    </row>
    <row r="81" spans="1:17" ht="30" customHeight="1">
      <c r="A81" s="22"/>
      <c r="B81" s="18" t="s">
        <v>314</v>
      </c>
      <c r="C81" s="19" t="s">
        <v>146</v>
      </c>
      <c r="D81" s="18" t="s">
        <v>175</v>
      </c>
      <c r="E81" s="20">
        <v>600</v>
      </c>
      <c r="F81" s="20">
        <v>660</v>
      </c>
      <c r="G81" s="20">
        <v>330</v>
      </c>
      <c r="H81" s="20">
        <v>586.67</v>
      </c>
      <c r="I81" s="20">
        <v>513.33</v>
      </c>
      <c r="J81" s="20">
        <v>403.33</v>
      </c>
      <c r="K81" s="20">
        <v>550</v>
      </c>
      <c r="L81" s="20">
        <v>623.33</v>
      </c>
      <c r="M81" s="20">
        <v>660</v>
      </c>
      <c r="N81" s="20">
        <v>660</v>
      </c>
      <c r="O81" s="20">
        <v>660</v>
      </c>
      <c r="P81" s="20">
        <v>586.67</v>
      </c>
      <c r="Q81" s="21">
        <f t="shared" si="3"/>
        <v>6833.33</v>
      </c>
    </row>
    <row r="82" spans="1:17" ht="30" customHeight="1">
      <c r="A82" s="22"/>
      <c r="B82" s="18" t="s">
        <v>315</v>
      </c>
      <c r="C82" s="19" t="s">
        <v>182</v>
      </c>
      <c r="D82" s="18" t="s">
        <v>183</v>
      </c>
      <c r="E82" s="20">
        <v>16467.59</v>
      </c>
      <c r="F82" s="20">
        <v>20838.69</v>
      </c>
      <c r="G82" s="20">
        <v>22956.19</v>
      </c>
      <c r="H82" s="20">
        <v>29128.89</v>
      </c>
      <c r="I82" s="20">
        <v>26983.89</v>
      </c>
      <c r="J82" s="20">
        <v>25925.49</v>
      </c>
      <c r="K82" s="20">
        <v>27987.29</v>
      </c>
      <c r="L82" s="20">
        <v>30796.52</v>
      </c>
      <c r="M82" s="20">
        <v>26914.79</v>
      </c>
      <c r="N82" s="20">
        <v>22337.09</v>
      </c>
      <c r="O82" s="20">
        <v>23308.76</v>
      </c>
      <c r="P82" s="20">
        <v>17430.09</v>
      </c>
      <c r="Q82" s="21">
        <f t="shared" si="3"/>
        <v>291075.28</v>
      </c>
    </row>
    <row r="83" spans="1:17" ht="30" customHeight="1">
      <c r="A83" s="22"/>
      <c r="B83" s="18" t="s">
        <v>348</v>
      </c>
      <c r="C83" s="19" t="s">
        <v>353</v>
      </c>
      <c r="D83" s="18" t="s">
        <v>187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>
        <v>0</v>
      </c>
      <c r="P83" s="20">
        <v>48324.2</v>
      </c>
      <c r="Q83" s="21">
        <f t="shared" si="3"/>
        <v>48324.2</v>
      </c>
    </row>
    <row r="84" spans="1:17" ht="30" customHeight="1">
      <c r="A84" s="22"/>
      <c r="B84" s="18" t="s">
        <v>250</v>
      </c>
      <c r="C84" s="19" t="s">
        <v>264</v>
      </c>
      <c r="D84" s="18" t="s">
        <v>265</v>
      </c>
      <c r="E84" s="20">
        <v>0</v>
      </c>
      <c r="F84" s="20">
        <v>2530</v>
      </c>
      <c r="G84" s="20">
        <v>2557.5</v>
      </c>
      <c r="H84" s="20">
        <v>550</v>
      </c>
      <c r="I84" s="20">
        <v>2227.5</v>
      </c>
      <c r="J84" s="20">
        <v>1787.5</v>
      </c>
      <c r="K84" s="20">
        <v>1760</v>
      </c>
      <c r="L84" s="20">
        <v>1760</v>
      </c>
      <c r="M84" s="20">
        <v>1375</v>
      </c>
      <c r="N84" s="20">
        <v>1760</v>
      </c>
      <c r="O84" s="20">
        <v>1815</v>
      </c>
      <c r="P84" s="20">
        <v>1320</v>
      </c>
      <c r="Q84" s="21">
        <f t="shared" si="3"/>
        <v>19442.5</v>
      </c>
    </row>
    <row r="85" spans="1:17" ht="30" customHeight="1">
      <c r="A85" s="22"/>
      <c r="B85" s="18" t="s">
        <v>263</v>
      </c>
      <c r="C85" s="19" t="s">
        <v>196</v>
      </c>
      <c r="D85" s="18" t="s">
        <v>197</v>
      </c>
      <c r="E85" s="20">
        <v>5590</v>
      </c>
      <c r="F85" s="20">
        <v>7590</v>
      </c>
      <c r="G85" s="20">
        <v>7010</v>
      </c>
      <c r="H85" s="20">
        <v>6745</v>
      </c>
      <c r="I85" s="20">
        <v>7180</v>
      </c>
      <c r="J85" s="20">
        <v>7625</v>
      </c>
      <c r="K85" s="20">
        <v>9070</v>
      </c>
      <c r="L85" s="20">
        <v>7605</v>
      </c>
      <c r="M85" s="20">
        <v>6590</v>
      </c>
      <c r="N85" s="20">
        <v>8050</v>
      </c>
      <c r="O85" s="20">
        <v>5630</v>
      </c>
      <c r="P85" s="20">
        <v>5395</v>
      </c>
      <c r="Q85" s="21">
        <f t="shared" si="3"/>
        <v>84080</v>
      </c>
    </row>
    <row r="86" spans="1:17" ht="30" customHeight="1">
      <c r="A86" s="22"/>
      <c r="B86" s="18" t="s">
        <v>291</v>
      </c>
      <c r="C86" s="19" t="s">
        <v>198</v>
      </c>
      <c r="D86" s="18" t="s">
        <v>197</v>
      </c>
      <c r="E86" s="20">
        <v>14069.56</v>
      </c>
      <c r="F86" s="20">
        <v>14074.56</v>
      </c>
      <c r="G86" s="20">
        <v>11680.24</v>
      </c>
      <c r="H86" s="20">
        <v>17738.2</v>
      </c>
      <c r="I86" s="20">
        <v>15074.56</v>
      </c>
      <c r="J86" s="20">
        <v>14509.56</v>
      </c>
      <c r="K86" s="20">
        <v>15673.88</v>
      </c>
      <c r="L86" s="20">
        <v>13564.56</v>
      </c>
      <c r="M86" s="20">
        <v>15378.88</v>
      </c>
      <c r="N86" s="20">
        <v>15393.88</v>
      </c>
      <c r="O86" s="20">
        <v>7662.28</v>
      </c>
      <c r="P86" s="20">
        <v>10300.92</v>
      </c>
      <c r="Q86" s="21">
        <f t="shared" si="3"/>
        <v>165121.08000000002</v>
      </c>
    </row>
    <row r="87" spans="1:17" ht="30" customHeight="1">
      <c r="A87" s="22"/>
      <c r="B87" s="18" t="s">
        <v>290</v>
      </c>
      <c r="C87" s="19" t="s">
        <v>93</v>
      </c>
      <c r="D87" s="18" t="s">
        <v>121</v>
      </c>
      <c r="E87" s="20">
        <v>26580.5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/>
      <c r="P87" s="20">
        <v>0</v>
      </c>
      <c r="Q87" s="21">
        <f t="shared" si="3"/>
        <v>26580.5</v>
      </c>
    </row>
    <row r="88" spans="1:17" ht="30" customHeight="1">
      <c r="A88" s="22"/>
      <c r="B88" s="33" t="s">
        <v>354</v>
      </c>
      <c r="C88" s="19" t="s">
        <v>192</v>
      </c>
      <c r="D88" s="18" t="s">
        <v>157</v>
      </c>
      <c r="E88" s="20">
        <v>2500</v>
      </c>
      <c r="F88" s="20">
        <v>2500</v>
      </c>
      <c r="G88" s="20">
        <v>2500</v>
      </c>
      <c r="H88" s="20">
        <v>2500</v>
      </c>
      <c r="I88" s="20">
        <v>2500</v>
      </c>
      <c r="J88" s="20">
        <v>2500</v>
      </c>
      <c r="K88" s="20">
        <v>2500</v>
      </c>
      <c r="L88" s="20">
        <v>2500</v>
      </c>
      <c r="M88" s="20">
        <v>2500</v>
      </c>
      <c r="N88" s="20">
        <v>2500</v>
      </c>
      <c r="O88" s="20">
        <v>2500</v>
      </c>
      <c r="P88" s="20">
        <v>2500</v>
      </c>
      <c r="Q88" s="21">
        <f t="shared" si="3"/>
        <v>30000</v>
      </c>
    </row>
    <row r="89" spans="1:17" ht="30" customHeight="1">
      <c r="A89" s="22"/>
      <c r="B89" s="18" t="s">
        <v>289</v>
      </c>
      <c r="C89" s="19" t="s">
        <v>94</v>
      </c>
      <c r="D89" s="18" t="s">
        <v>122</v>
      </c>
      <c r="E89" s="20">
        <v>13490</v>
      </c>
      <c r="F89" s="20">
        <v>12460</v>
      </c>
      <c r="G89" s="20">
        <v>11220</v>
      </c>
      <c r="H89" s="20">
        <v>12630</v>
      </c>
      <c r="I89" s="20">
        <v>12090</v>
      </c>
      <c r="J89" s="20">
        <v>12490</v>
      </c>
      <c r="K89" s="20">
        <v>11880</v>
      </c>
      <c r="L89" s="20">
        <v>12230</v>
      </c>
      <c r="M89" s="20">
        <v>12170</v>
      </c>
      <c r="N89" s="20">
        <v>12610</v>
      </c>
      <c r="O89" s="20">
        <v>13750</v>
      </c>
      <c r="P89" s="20">
        <v>14480</v>
      </c>
      <c r="Q89" s="21">
        <f t="shared" si="3"/>
        <v>151500</v>
      </c>
    </row>
    <row r="90" spans="1:17" ht="30" customHeight="1">
      <c r="A90" s="22"/>
      <c r="B90" s="18" t="s">
        <v>323</v>
      </c>
      <c r="C90" s="19" t="s">
        <v>324</v>
      </c>
      <c r="D90" s="18" t="s">
        <v>125</v>
      </c>
      <c r="E90" s="20">
        <v>0</v>
      </c>
      <c r="F90" s="20">
        <v>0</v>
      </c>
      <c r="G90" s="20">
        <v>0</v>
      </c>
      <c r="H90" s="20">
        <v>1100</v>
      </c>
      <c r="I90" s="20">
        <v>1620</v>
      </c>
      <c r="J90" s="20">
        <v>1290</v>
      </c>
      <c r="K90" s="20">
        <v>2190</v>
      </c>
      <c r="L90" s="20">
        <v>1540</v>
      </c>
      <c r="M90" s="20">
        <v>1250</v>
      </c>
      <c r="N90" s="20">
        <v>1612.5</v>
      </c>
      <c r="O90" s="20">
        <v>1607.5</v>
      </c>
      <c r="P90" s="20">
        <v>1290</v>
      </c>
      <c r="Q90" s="21">
        <f t="shared" si="3"/>
        <v>13500</v>
      </c>
    </row>
    <row r="91" spans="1:17" ht="30" customHeight="1">
      <c r="A91" s="22"/>
      <c r="B91" s="18" t="s">
        <v>236</v>
      </c>
      <c r="C91" s="19" t="s">
        <v>91</v>
      </c>
      <c r="D91" s="18" t="s">
        <v>109</v>
      </c>
      <c r="E91" s="20">
        <v>12127.5</v>
      </c>
      <c r="F91" s="20">
        <v>10477.5</v>
      </c>
      <c r="G91" s="20">
        <v>12485</v>
      </c>
      <c r="H91" s="20">
        <v>14052.5</v>
      </c>
      <c r="I91" s="20">
        <v>12925</v>
      </c>
      <c r="J91" s="20">
        <v>12760</v>
      </c>
      <c r="K91" s="20">
        <v>14302.5</v>
      </c>
      <c r="L91" s="20">
        <v>12815</v>
      </c>
      <c r="M91" s="20">
        <v>11635</v>
      </c>
      <c r="N91" s="20">
        <v>8855</v>
      </c>
      <c r="O91" s="20">
        <v>11165</v>
      </c>
      <c r="P91" s="20">
        <v>11880</v>
      </c>
      <c r="Q91" s="21">
        <f t="shared" si="3"/>
        <v>145480</v>
      </c>
    </row>
    <row r="92" spans="1:17" ht="30" customHeight="1">
      <c r="A92" s="22"/>
      <c r="B92" s="18" t="s">
        <v>235</v>
      </c>
      <c r="C92" s="19" t="s">
        <v>100</v>
      </c>
      <c r="D92" s="18" t="s">
        <v>110</v>
      </c>
      <c r="E92" s="20">
        <v>5600</v>
      </c>
      <c r="F92" s="20">
        <v>4625</v>
      </c>
      <c r="G92" s="20">
        <v>4350</v>
      </c>
      <c r="H92" s="20">
        <v>6100</v>
      </c>
      <c r="I92" s="20">
        <v>5390</v>
      </c>
      <c r="J92" s="20">
        <v>5000</v>
      </c>
      <c r="K92" s="20">
        <v>5875</v>
      </c>
      <c r="L92" s="20">
        <v>5450</v>
      </c>
      <c r="M92" s="20">
        <v>4600</v>
      </c>
      <c r="N92" s="20">
        <v>5375</v>
      </c>
      <c r="O92" s="20">
        <v>5350</v>
      </c>
      <c r="P92" s="20">
        <v>4375</v>
      </c>
      <c r="Q92" s="21">
        <f t="shared" si="3"/>
        <v>62090</v>
      </c>
    </row>
    <row r="93" spans="1:17" ht="30" customHeight="1">
      <c r="A93" s="22"/>
      <c r="B93" s="18" t="s">
        <v>288</v>
      </c>
      <c r="C93" s="19" t="s">
        <v>149</v>
      </c>
      <c r="D93" s="18" t="s">
        <v>151</v>
      </c>
      <c r="E93" s="20">
        <v>0</v>
      </c>
      <c r="F93" s="20">
        <v>850</v>
      </c>
      <c r="G93" s="20">
        <v>700</v>
      </c>
      <c r="H93" s="20">
        <v>770</v>
      </c>
      <c r="I93" s="20">
        <v>600</v>
      </c>
      <c r="J93" s="20">
        <v>0</v>
      </c>
      <c r="K93" s="20">
        <v>1100</v>
      </c>
      <c r="L93" s="20">
        <v>950</v>
      </c>
      <c r="M93" s="20">
        <v>715</v>
      </c>
      <c r="N93" s="20">
        <v>650</v>
      </c>
      <c r="O93" s="20">
        <v>0</v>
      </c>
      <c r="P93" s="20">
        <v>0</v>
      </c>
      <c r="Q93" s="21">
        <f t="shared" si="3"/>
        <v>6335</v>
      </c>
    </row>
    <row r="94" spans="1:17" ht="30" customHeight="1">
      <c r="A94" s="22"/>
      <c r="B94" s="18" t="s">
        <v>287</v>
      </c>
      <c r="C94" s="19" t="s">
        <v>95</v>
      </c>
      <c r="D94" s="18" t="s">
        <v>123</v>
      </c>
      <c r="E94" s="20">
        <v>8763.33</v>
      </c>
      <c r="F94" s="20">
        <v>7443.33</v>
      </c>
      <c r="G94" s="20">
        <v>11183.33</v>
      </c>
      <c r="H94" s="20">
        <v>13566.67</v>
      </c>
      <c r="I94" s="20">
        <v>8933.33</v>
      </c>
      <c r="J94" s="20">
        <v>7900</v>
      </c>
      <c r="K94" s="20">
        <v>9570</v>
      </c>
      <c r="L94" s="20">
        <v>7150</v>
      </c>
      <c r="M94" s="20">
        <v>9973.33</v>
      </c>
      <c r="N94" s="20">
        <v>11366.67</v>
      </c>
      <c r="O94" s="20">
        <v>12686.67</v>
      </c>
      <c r="P94" s="20">
        <v>9533.33</v>
      </c>
      <c r="Q94" s="21">
        <f t="shared" si="3"/>
        <v>118069.98999999999</v>
      </c>
    </row>
    <row r="95" spans="1:17" ht="30" customHeight="1">
      <c r="A95" s="22"/>
      <c r="B95" s="18" t="s">
        <v>249</v>
      </c>
      <c r="C95" s="19" t="s">
        <v>259</v>
      </c>
      <c r="D95" s="18" t="s">
        <v>260</v>
      </c>
      <c r="E95" s="20">
        <v>0</v>
      </c>
      <c r="F95" s="20">
        <v>1685</v>
      </c>
      <c r="G95" s="20">
        <v>1660</v>
      </c>
      <c r="H95" s="20">
        <v>1215</v>
      </c>
      <c r="I95" s="20">
        <v>1455</v>
      </c>
      <c r="J95" s="20">
        <v>2320</v>
      </c>
      <c r="K95" s="20">
        <v>1760</v>
      </c>
      <c r="L95" s="20">
        <v>2212.5</v>
      </c>
      <c r="M95" s="20">
        <v>2002.5</v>
      </c>
      <c r="N95" s="20">
        <v>1925</v>
      </c>
      <c r="O95" s="20">
        <v>1875</v>
      </c>
      <c r="P95" s="20">
        <v>1457.5</v>
      </c>
      <c r="Q95" s="21">
        <f t="shared" si="3"/>
        <v>19567.5</v>
      </c>
    </row>
    <row r="96" spans="1:17" ht="30" customHeight="1">
      <c r="A96" s="22"/>
      <c r="B96" s="18" t="s">
        <v>261</v>
      </c>
      <c r="C96" s="19" t="s">
        <v>139</v>
      </c>
      <c r="D96" s="18" t="s">
        <v>154</v>
      </c>
      <c r="E96" s="20">
        <v>5139</v>
      </c>
      <c r="F96" s="20">
        <v>5524</v>
      </c>
      <c r="G96" s="20">
        <v>6782.8</v>
      </c>
      <c r="H96" s="20">
        <v>4815.2</v>
      </c>
      <c r="I96" s="20">
        <v>6019</v>
      </c>
      <c r="J96" s="20">
        <v>4815.2</v>
      </c>
      <c r="K96" s="20">
        <v>6019</v>
      </c>
      <c r="L96" s="20">
        <v>6019</v>
      </c>
      <c r="M96" s="20">
        <v>1203.8</v>
      </c>
      <c r="N96" s="20">
        <v>5249</v>
      </c>
      <c r="O96" s="20">
        <v>5519</v>
      </c>
      <c r="P96" s="20">
        <v>5069</v>
      </c>
      <c r="Q96" s="21">
        <f t="shared" si="3"/>
        <v>62174</v>
      </c>
    </row>
    <row r="97" spans="1:17" ht="30" customHeight="1">
      <c r="A97" s="22"/>
      <c r="B97" s="18" t="s">
        <v>262</v>
      </c>
      <c r="C97" s="19" t="s">
        <v>96</v>
      </c>
      <c r="D97" s="18" t="s">
        <v>124</v>
      </c>
      <c r="E97" s="20">
        <v>8606.8</v>
      </c>
      <c r="F97" s="20">
        <v>6656.8</v>
      </c>
      <c r="G97" s="20">
        <v>8996.8</v>
      </c>
      <c r="H97" s="20">
        <v>9414.3</v>
      </c>
      <c r="I97" s="20">
        <v>10953.5</v>
      </c>
      <c r="J97" s="20">
        <v>3633.4</v>
      </c>
      <c r="K97" s="20">
        <v>7826.8</v>
      </c>
      <c r="L97" s="20">
        <v>12955.2</v>
      </c>
      <c r="M97" s="20">
        <v>8658.5</v>
      </c>
      <c r="N97" s="20">
        <v>11733.5</v>
      </c>
      <c r="O97" s="20">
        <v>7436.8</v>
      </c>
      <c r="P97" s="20">
        <v>5117.6</v>
      </c>
      <c r="Q97" s="21">
        <f t="shared" si="3"/>
        <v>101990.00000000001</v>
      </c>
    </row>
    <row r="98" spans="1:17" ht="30" customHeight="1">
      <c r="A98" s="22"/>
      <c r="B98" s="18" t="s">
        <v>245</v>
      </c>
      <c r="C98" s="19" t="s">
        <v>255</v>
      </c>
      <c r="D98" s="18" t="s">
        <v>256</v>
      </c>
      <c r="E98" s="20">
        <v>0</v>
      </c>
      <c r="F98" s="20">
        <f>4565.2+3055.2</f>
        <v>7620.4</v>
      </c>
      <c r="G98" s="20">
        <f>4505.2+3055.2</f>
        <v>7560.4</v>
      </c>
      <c r="H98" s="20">
        <f>3055.2+4485.2</f>
        <v>7540.4</v>
      </c>
      <c r="I98" s="20">
        <f>3819+5219</f>
        <v>9038</v>
      </c>
      <c r="J98" s="20">
        <f>2291.4+2891.4</f>
        <v>5182.8</v>
      </c>
      <c r="K98" s="20">
        <f>4305.2+3055.2</f>
        <v>7360.4</v>
      </c>
      <c r="L98" s="20">
        <f>4649+3819</f>
        <v>8468</v>
      </c>
      <c r="M98" s="20">
        <f>3955.2+3055.2</f>
        <v>7010.4</v>
      </c>
      <c r="N98" s="20">
        <f>3819+4876.5</f>
        <v>8695.5</v>
      </c>
      <c r="O98" s="20">
        <f>763.8+863.8</f>
        <v>1627.6</v>
      </c>
      <c r="P98" s="20"/>
      <c r="Q98" s="21">
        <f t="shared" si="3"/>
        <v>70103.90000000001</v>
      </c>
    </row>
    <row r="99" spans="1:17" ht="30" customHeight="1">
      <c r="A99" s="22"/>
      <c r="B99" s="18" t="s">
        <v>285</v>
      </c>
      <c r="C99" s="19" t="s">
        <v>98</v>
      </c>
      <c r="D99" s="18" t="s">
        <v>186</v>
      </c>
      <c r="E99" s="20">
        <v>9015</v>
      </c>
      <c r="F99" s="20">
        <v>10550</v>
      </c>
      <c r="G99" s="20">
        <v>9950</v>
      </c>
      <c r="H99" s="20">
        <v>9290</v>
      </c>
      <c r="I99" s="20">
        <v>10355</v>
      </c>
      <c r="J99" s="20">
        <v>8700</v>
      </c>
      <c r="K99" s="20">
        <v>8650</v>
      </c>
      <c r="L99" s="20">
        <v>8830</v>
      </c>
      <c r="M99" s="20">
        <v>6030</v>
      </c>
      <c r="N99" s="20">
        <v>7047.5</v>
      </c>
      <c r="O99" s="20">
        <v>6280</v>
      </c>
      <c r="P99" s="20">
        <v>6475</v>
      </c>
      <c r="Q99" s="21">
        <f t="shared" si="3"/>
        <v>101172.5</v>
      </c>
    </row>
    <row r="100" spans="1:17" ht="30" customHeight="1">
      <c r="A100" s="22"/>
      <c r="B100" s="18" t="s">
        <v>286</v>
      </c>
      <c r="C100" s="19" t="s">
        <v>97</v>
      </c>
      <c r="D100" s="18" t="s">
        <v>107</v>
      </c>
      <c r="E100" s="20">
        <v>29280</v>
      </c>
      <c r="F100" s="20">
        <v>25775</v>
      </c>
      <c r="G100" s="20">
        <v>26890</v>
      </c>
      <c r="H100" s="20">
        <v>28640</v>
      </c>
      <c r="I100" s="20">
        <v>39040</v>
      </c>
      <c r="J100" s="20">
        <v>39240</v>
      </c>
      <c r="K100" s="20">
        <v>39050</v>
      </c>
      <c r="L100" s="20">
        <v>23340</v>
      </c>
      <c r="M100" s="20">
        <v>24625</v>
      </c>
      <c r="N100" s="20">
        <v>27740</v>
      </c>
      <c r="O100" s="20">
        <v>13150</v>
      </c>
      <c r="P100" s="20">
        <v>26040</v>
      </c>
      <c r="Q100" s="21">
        <f t="shared" si="3"/>
        <v>342810</v>
      </c>
    </row>
    <row r="101" spans="1:17" ht="30" customHeight="1">
      <c r="A101" s="22"/>
      <c r="B101" s="18" t="s">
        <v>284</v>
      </c>
      <c r="C101" s="19" t="s">
        <v>99</v>
      </c>
      <c r="D101" s="18" t="s">
        <v>125</v>
      </c>
      <c r="E101" s="20">
        <v>5285</v>
      </c>
      <c r="F101" s="20">
        <v>4620</v>
      </c>
      <c r="G101" s="20">
        <v>4825</v>
      </c>
      <c r="H101" s="20">
        <v>4340</v>
      </c>
      <c r="I101" s="20">
        <v>4520</v>
      </c>
      <c r="J101" s="20">
        <v>3240</v>
      </c>
      <c r="K101" s="20">
        <v>2980</v>
      </c>
      <c r="L101" s="20">
        <v>4520</v>
      </c>
      <c r="M101" s="20">
        <v>1320</v>
      </c>
      <c r="N101" s="20">
        <v>3760</v>
      </c>
      <c r="O101" s="20">
        <v>3430</v>
      </c>
      <c r="P101" s="20">
        <v>6550</v>
      </c>
      <c r="Q101" s="21">
        <f t="shared" si="3"/>
        <v>49390</v>
      </c>
    </row>
    <row r="102" spans="1:17" ht="30" customHeight="1">
      <c r="A102" s="22"/>
      <c r="B102" s="18" t="s">
        <v>331</v>
      </c>
      <c r="C102" s="19" t="s">
        <v>332</v>
      </c>
      <c r="D102" s="18" t="s">
        <v>321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2640</v>
      </c>
      <c r="M102" s="20">
        <v>2640</v>
      </c>
      <c r="N102" s="20">
        <v>3355</v>
      </c>
      <c r="O102" s="20">
        <v>2970</v>
      </c>
      <c r="P102" s="20">
        <v>2145</v>
      </c>
      <c r="Q102" s="21">
        <f t="shared" si="3"/>
        <v>13750</v>
      </c>
    </row>
    <row r="103" spans="1:17" ht="30" customHeight="1">
      <c r="A103" s="22"/>
      <c r="B103" s="18" t="s">
        <v>246</v>
      </c>
      <c r="C103" s="19" t="s">
        <v>254</v>
      </c>
      <c r="D103" s="18" t="s">
        <v>225</v>
      </c>
      <c r="E103" s="20">
        <v>0</v>
      </c>
      <c r="F103" s="20">
        <f>13558.67+1194.8</f>
        <v>14753.47</v>
      </c>
      <c r="G103" s="20">
        <f>4528.8+5980.27+6368.8</f>
        <v>16877.87</v>
      </c>
      <c r="H103" s="20">
        <f>694.8+4235.47+4368.8</f>
        <v>9299.07</v>
      </c>
      <c r="I103" s="20">
        <f>4308.8+4492.14+2961.07</f>
        <v>11762.01</v>
      </c>
      <c r="J103" s="20">
        <f>3144.4+4565.47+4229.2</f>
        <v>11939.07</v>
      </c>
      <c r="K103" s="20">
        <f>3019.2+3092.53+4212.53</f>
        <v>10324.259999999998</v>
      </c>
      <c r="L103" s="20">
        <f>2056.27+1472.93+4418.8</f>
        <v>7948</v>
      </c>
      <c r="M103" s="20">
        <f>3239.2+1989.6+7520.27</f>
        <v>12749.07</v>
      </c>
      <c r="N103" s="20">
        <f>4638.8+728.13+10768.4</f>
        <v>16135.33</v>
      </c>
      <c r="O103" s="20">
        <f>3055.87+754.8+12959.47+10328.4</f>
        <v>27098.54</v>
      </c>
      <c r="P103" s="20">
        <f>5659.2+5424+1399.6</f>
        <v>12482.800000000001</v>
      </c>
      <c r="Q103" s="21">
        <f t="shared" si="3"/>
        <v>151369.49</v>
      </c>
    </row>
    <row r="104" spans="1:17" ht="30" customHeight="1">
      <c r="A104" s="22"/>
      <c r="B104" s="18" t="s">
        <v>282</v>
      </c>
      <c r="C104" s="19" t="s">
        <v>167</v>
      </c>
      <c r="D104" s="18" t="s">
        <v>155</v>
      </c>
      <c r="E104" s="20">
        <v>11019.87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/>
      <c r="N104" s="20"/>
      <c r="O104" s="20">
        <v>0</v>
      </c>
      <c r="P104" s="20"/>
      <c r="Q104" s="21">
        <f t="shared" si="3"/>
        <v>11019.87</v>
      </c>
    </row>
    <row r="105" spans="1:17" ht="30" customHeight="1">
      <c r="A105" s="22"/>
      <c r="B105" s="18" t="s">
        <v>283</v>
      </c>
      <c r="C105" s="19" t="s">
        <v>224</v>
      </c>
      <c r="D105" s="18" t="s">
        <v>225</v>
      </c>
      <c r="E105" s="20">
        <v>8913.6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/>
      <c r="N105" s="20"/>
      <c r="O105" s="20">
        <v>0</v>
      </c>
      <c r="P105" s="20"/>
      <c r="Q105" s="21">
        <f aca="true" t="shared" si="4" ref="Q105:Q111">SUM(E105:P105)</f>
        <v>8913.6</v>
      </c>
    </row>
    <row r="106" spans="1:17" ht="30" customHeight="1">
      <c r="A106" s="22"/>
      <c r="B106" s="18" t="s">
        <v>281</v>
      </c>
      <c r="C106" s="19" t="s">
        <v>138</v>
      </c>
      <c r="D106" s="18" t="s">
        <v>153</v>
      </c>
      <c r="E106" s="20">
        <v>5489.4</v>
      </c>
      <c r="F106" s="20">
        <v>5489.4</v>
      </c>
      <c r="G106" s="20">
        <v>6762.6</v>
      </c>
      <c r="H106" s="20">
        <v>5795.4</v>
      </c>
      <c r="I106" s="20">
        <v>5948.4</v>
      </c>
      <c r="J106" s="20">
        <v>6101.4</v>
      </c>
      <c r="K106" s="20">
        <v>6531.4</v>
      </c>
      <c r="L106" s="20">
        <v>4342.4</v>
      </c>
      <c r="M106" s="20">
        <v>3547.9</v>
      </c>
      <c r="N106" s="20">
        <v>3968.4</v>
      </c>
      <c r="O106" s="20">
        <v>3629.4</v>
      </c>
      <c r="P106" s="20">
        <v>2247.2</v>
      </c>
      <c r="Q106" s="21">
        <f t="shared" si="4"/>
        <v>59853.30000000001</v>
      </c>
    </row>
    <row r="107" spans="1:17" ht="30" customHeight="1">
      <c r="A107" s="22"/>
      <c r="B107" s="18" t="s">
        <v>234</v>
      </c>
      <c r="C107" s="19" t="s">
        <v>166</v>
      </c>
      <c r="D107" s="18" t="s">
        <v>153</v>
      </c>
      <c r="E107" s="20">
        <v>3500</v>
      </c>
      <c r="F107" s="20">
        <v>2700</v>
      </c>
      <c r="G107" s="20">
        <v>2600</v>
      </c>
      <c r="H107" s="20">
        <v>2100</v>
      </c>
      <c r="I107" s="20">
        <v>3200</v>
      </c>
      <c r="J107" s="20">
        <v>2600</v>
      </c>
      <c r="K107" s="20">
        <v>3300</v>
      </c>
      <c r="L107" s="20">
        <v>3400</v>
      </c>
      <c r="M107" s="20">
        <v>2900</v>
      </c>
      <c r="N107" s="20">
        <v>3700</v>
      </c>
      <c r="O107" s="20">
        <v>2200</v>
      </c>
      <c r="P107" s="20">
        <v>1400</v>
      </c>
      <c r="Q107" s="21">
        <f t="shared" si="4"/>
        <v>33600</v>
      </c>
    </row>
    <row r="108" spans="1:17" ht="30" customHeight="1">
      <c r="A108" s="22"/>
      <c r="B108" s="18" t="s">
        <v>252</v>
      </c>
      <c r="C108" s="19" t="s">
        <v>258</v>
      </c>
      <c r="D108" s="18" t="s">
        <v>257</v>
      </c>
      <c r="E108" s="20">
        <v>0</v>
      </c>
      <c r="F108" s="20">
        <v>0</v>
      </c>
      <c r="G108" s="20">
        <v>2547.2</v>
      </c>
      <c r="H108" s="20">
        <v>2574.7</v>
      </c>
      <c r="I108" s="20">
        <v>0</v>
      </c>
      <c r="J108" s="20">
        <v>0</v>
      </c>
      <c r="K108" s="20">
        <v>0</v>
      </c>
      <c r="L108" s="20">
        <v>0</v>
      </c>
      <c r="M108" s="20"/>
      <c r="N108" s="20">
        <v>0</v>
      </c>
      <c r="O108" s="20">
        <v>0</v>
      </c>
      <c r="P108" s="20"/>
      <c r="Q108" s="21">
        <f t="shared" si="4"/>
        <v>5121.9</v>
      </c>
    </row>
    <row r="109" spans="1:17" ht="30" customHeight="1">
      <c r="A109" s="22"/>
      <c r="B109" s="18" t="s">
        <v>233</v>
      </c>
      <c r="C109" s="19" t="s">
        <v>101</v>
      </c>
      <c r="D109" s="18" t="s">
        <v>126</v>
      </c>
      <c r="E109" s="20">
        <v>2825</v>
      </c>
      <c r="F109" s="20">
        <v>2400</v>
      </c>
      <c r="G109" s="20">
        <v>2400</v>
      </c>
      <c r="H109" s="20">
        <v>2400</v>
      </c>
      <c r="I109" s="20">
        <v>2200</v>
      </c>
      <c r="J109" s="20">
        <v>2350</v>
      </c>
      <c r="K109" s="20">
        <v>1825</v>
      </c>
      <c r="L109" s="20">
        <v>1350</v>
      </c>
      <c r="M109" s="20">
        <v>1725</v>
      </c>
      <c r="N109" s="20">
        <v>2150</v>
      </c>
      <c r="O109" s="20">
        <v>2000</v>
      </c>
      <c r="P109" s="20">
        <v>1200</v>
      </c>
      <c r="Q109" s="21">
        <f t="shared" si="4"/>
        <v>24825</v>
      </c>
    </row>
    <row r="110" spans="1:17" ht="30" customHeight="1">
      <c r="A110" s="22"/>
      <c r="B110" s="18" t="s">
        <v>232</v>
      </c>
      <c r="C110" s="19" t="s">
        <v>102</v>
      </c>
      <c r="D110" s="18" t="s">
        <v>127</v>
      </c>
      <c r="E110" s="20">
        <v>3025</v>
      </c>
      <c r="F110" s="20">
        <v>3355</v>
      </c>
      <c r="G110" s="20">
        <v>3877.5</v>
      </c>
      <c r="H110" s="20">
        <v>4290</v>
      </c>
      <c r="I110" s="20">
        <v>3712.5</v>
      </c>
      <c r="J110" s="20">
        <v>3410</v>
      </c>
      <c r="K110" s="20">
        <v>3000</v>
      </c>
      <c r="L110" s="20">
        <v>4922.5</v>
      </c>
      <c r="M110" s="20">
        <v>5747.5</v>
      </c>
      <c r="N110" s="20">
        <v>4125</v>
      </c>
      <c r="O110" s="20">
        <v>21285</v>
      </c>
      <c r="P110" s="20">
        <v>20982.5</v>
      </c>
      <c r="Q110" s="21">
        <f t="shared" si="4"/>
        <v>81732.5</v>
      </c>
    </row>
    <row r="111" spans="1:17" ht="30" customHeight="1">
      <c r="A111" s="22"/>
      <c r="B111" s="18" t="s">
        <v>231</v>
      </c>
      <c r="C111" s="19" t="s">
        <v>103</v>
      </c>
      <c r="D111" s="18" t="s">
        <v>128</v>
      </c>
      <c r="E111" s="20">
        <v>8965</v>
      </c>
      <c r="F111" s="20">
        <v>8872.5</v>
      </c>
      <c r="G111" s="20">
        <v>8030</v>
      </c>
      <c r="H111" s="20">
        <v>8185</v>
      </c>
      <c r="I111" s="20">
        <v>8257.5</v>
      </c>
      <c r="J111" s="20">
        <v>7562.5</v>
      </c>
      <c r="K111" s="20">
        <v>7722.5</v>
      </c>
      <c r="L111" s="20">
        <v>7425</v>
      </c>
      <c r="M111" s="20">
        <v>7502.5</v>
      </c>
      <c r="N111" s="20">
        <v>7727.5</v>
      </c>
      <c r="O111" s="20">
        <v>7287.5</v>
      </c>
      <c r="P111" s="20">
        <v>7040</v>
      </c>
      <c r="Q111" s="21">
        <f t="shared" si="4"/>
        <v>94577.5</v>
      </c>
    </row>
    <row r="112" spans="1:17" ht="12.75">
      <c r="A112" s="22"/>
      <c r="B112" s="9" t="s">
        <v>0</v>
      </c>
      <c r="C112" s="9"/>
      <c r="D112" s="9"/>
      <c r="E112" s="24">
        <f aca="true" t="shared" si="5" ref="E112:P112">SUM(E30:E111)</f>
        <v>718766.2600000001</v>
      </c>
      <c r="F112" s="24">
        <f t="shared" si="5"/>
        <v>711384.3</v>
      </c>
      <c r="G112" s="24">
        <f t="shared" si="5"/>
        <v>734572.7999999999</v>
      </c>
      <c r="H112" s="24">
        <f t="shared" si="5"/>
        <v>781958.8400000001</v>
      </c>
      <c r="I112" s="24">
        <f t="shared" si="5"/>
        <v>832674.04</v>
      </c>
      <c r="J112" s="24">
        <f t="shared" si="5"/>
        <v>790594.9100000001</v>
      </c>
      <c r="K112" s="24">
        <f t="shared" si="5"/>
        <v>792093.7000000001</v>
      </c>
      <c r="L112" s="24">
        <f t="shared" si="5"/>
        <v>743387.7300000001</v>
      </c>
      <c r="M112" s="24">
        <f t="shared" si="5"/>
        <v>715097.76</v>
      </c>
      <c r="N112" s="24">
        <f t="shared" si="5"/>
        <v>730050.63</v>
      </c>
      <c r="O112" s="24">
        <f t="shared" si="5"/>
        <v>654854.3100000002</v>
      </c>
      <c r="P112" s="24">
        <f t="shared" si="5"/>
        <v>655986.32</v>
      </c>
      <c r="Q112" s="21">
        <f>SUM(E112:P112)</f>
        <v>8861421.600000001</v>
      </c>
    </row>
    <row r="113" spans="1:17" ht="12.75">
      <c r="A113" s="34"/>
      <c r="B113" s="35"/>
      <c r="C113" s="35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7"/>
    </row>
    <row r="114" spans="1:17" s="28" customFormat="1" ht="12.75">
      <c r="A114" s="7" t="s">
        <v>36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2.75">
      <c r="A115" s="22"/>
      <c r="B115" s="18" t="s">
        <v>159</v>
      </c>
      <c r="C115" s="19" t="s">
        <v>160</v>
      </c>
      <c r="D115" s="23" t="s">
        <v>35</v>
      </c>
      <c r="E115" s="20">
        <v>135712.39</v>
      </c>
      <c r="F115" s="20">
        <v>145514.61</v>
      </c>
      <c r="G115" s="20">
        <v>171872.89</v>
      </c>
      <c r="H115" s="20">
        <v>165976</v>
      </c>
      <c r="I115" s="20">
        <v>138728.55</v>
      </c>
      <c r="J115" s="20">
        <v>124013.75</v>
      </c>
      <c r="K115" s="20">
        <v>129454.78</v>
      </c>
      <c r="L115" s="20">
        <v>112771.14</v>
      </c>
      <c r="M115" s="20">
        <v>101060.96</v>
      </c>
      <c r="N115" s="20">
        <v>107951.61</v>
      </c>
      <c r="O115" s="20">
        <v>70488.91</v>
      </c>
      <c r="P115" s="20">
        <v>98346.65</v>
      </c>
      <c r="Q115" s="21">
        <f>SUM(E115:P115)</f>
        <v>1501892.2399999998</v>
      </c>
    </row>
    <row r="116" spans="1:17" ht="44.25" customHeight="1">
      <c r="A116" s="22"/>
      <c r="B116" s="18" t="s">
        <v>131</v>
      </c>
      <c r="C116" s="19" t="s">
        <v>47</v>
      </c>
      <c r="D116" s="23" t="s">
        <v>62</v>
      </c>
      <c r="E116" s="20">
        <v>650</v>
      </c>
      <c r="F116" s="20">
        <v>650</v>
      </c>
      <c r="G116" s="20">
        <v>650</v>
      </c>
      <c r="H116" s="20">
        <v>650</v>
      </c>
      <c r="I116" s="20">
        <v>650</v>
      </c>
      <c r="J116" s="20">
        <v>650</v>
      </c>
      <c r="K116" s="20">
        <v>650</v>
      </c>
      <c r="L116" s="20">
        <v>650</v>
      </c>
      <c r="M116" s="20">
        <v>650</v>
      </c>
      <c r="N116" s="20">
        <v>650</v>
      </c>
      <c r="O116" s="20">
        <v>650</v>
      </c>
      <c r="P116" s="20">
        <v>650</v>
      </c>
      <c r="Q116" s="21">
        <f>SUM(E116:P116)</f>
        <v>7800</v>
      </c>
    </row>
    <row r="117" spans="1:17" ht="12.75">
      <c r="A117" s="22"/>
      <c r="B117" s="9" t="s">
        <v>359</v>
      </c>
      <c r="C117" s="9"/>
      <c r="D117" s="9"/>
      <c r="E117" s="24">
        <f aca="true" t="shared" si="6" ref="E117:P117">SUM(E115:E116)</f>
        <v>136362.39</v>
      </c>
      <c r="F117" s="24">
        <f t="shared" si="6"/>
        <v>146164.61</v>
      </c>
      <c r="G117" s="24">
        <f t="shared" si="6"/>
        <v>172522.89</v>
      </c>
      <c r="H117" s="24">
        <f t="shared" si="6"/>
        <v>166626</v>
      </c>
      <c r="I117" s="24">
        <f t="shared" si="6"/>
        <v>139378.55</v>
      </c>
      <c r="J117" s="24">
        <f t="shared" si="6"/>
        <v>124663.75</v>
      </c>
      <c r="K117" s="24">
        <f t="shared" si="6"/>
        <v>130104.78</v>
      </c>
      <c r="L117" s="24">
        <f t="shared" si="6"/>
        <v>113421.14</v>
      </c>
      <c r="M117" s="24">
        <f t="shared" si="6"/>
        <v>101710.96</v>
      </c>
      <c r="N117" s="24">
        <f t="shared" si="6"/>
        <v>108601.61</v>
      </c>
      <c r="O117" s="24">
        <f t="shared" si="6"/>
        <v>71138.91</v>
      </c>
      <c r="P117" s="24">
        <f t="shared" si="6"/>
        <v>98996.65</v>
      </c>
      <c r="Q117" s="21">
        <f>SUM(E117:P117)</f>
        <v>1509692.2399999998</v>
      </c>
    </row>
    <row r="118" spans="1:17" ht="12.75">
      <c r="A118" s="34"/>
      <c r="B118" s="35"/>
      <c r="C118" s="35"/>
      <c r="D118" s="35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7"/>
    </row>
    <row r="119" spans="1:17" s="28" customFormat="1" ht="12.75">
      <c r="A119" s="7" t="s">
        <v>7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2.75">
      <c r="A120" s="22"/>
      <c r="B120" s="18" t="s">
        <v>64</v>
      </c>
      <c r="C120" s="19" t="s">
        <v>148</v>
      </c>
      <c r="D120" s="23" t="s">
        <v>21</v>
      </c>
      <c r="E120" s="20">
        <v>613.8</v>
      </c>
      <c r="F120" s="20">
        <v>613.8</v>
      </c>
      <c r="G120" s="20">
        <v>613.8</v>
      </c>
      <c r="H120" s="20">
        <v>613.8</v>
      </c>
      <c r="I120" s="20">
        <v>613.8</v>
      </c>
      <c r="J120" s="20">
        <v>613.8</v>
      </c>
      <c r="K120" s="20">
        <v>613.8</v>
      </c>
      <c r="L120" s="20">
        <v>613.8</v>
      </c>
      <c r="M120" s="20">
        <v>613.8</v>
      </c>
      <c r="N120" s="20">
        <v>613.8</v>
      </c>
      <c r="O120" s="20">
        <v>0</v>
      </c>
      <c r="P120" s="20">
        <v>636.25</v>
      </c>
      <c r="Q120" s="21">
        <f>SUM(E120:P120)</f>
        <v>6774.250000000001</v>
      </c>
    </row>
    <row r="121" spans="1:17" ht="12.75">
      <c r="A121" s="9" t="s">
        <v>0</v>
      </c>
      <c r="B121" s="9"/>
      <c r="C121" s="9"/>
      <c r="D121" s="9"/>
      <c r="E121" s="24">
        <f aca="true" t="shared" si="7" ref="E121:P121">SUM(E120:E120)</f>
        <v>613.8</v>
      </c>
      <c r="F121" s="24">
        <f t="shared" si="7"/>
        <v>613.8</v>
      </c>
      <c r="G121" s="24">
        <f t="shared" si="7"/>
        <v>613.8</v>
      </c>
      <c r="H121" s="24">
        <f>SUM(H120:H120)</f>
        <v>613.8</v>
      </c>
      <c r="I121" s="24">
        <f t="shared" si="7"/>
        <v>613.8</v>
      </c>
      <c r="J121" s="24">
        <f t="shared" si="7"/>
        <v>613.8</v>
      </c>
      <c r="K121" s="24">
        <f t="shared" si="7"/>
        <v>613.8</v>
      </c>
      <c r="L121" s="24">
        <f t="shared" si="7"/>
        <v>613.8</v>
      </c>
      <c r="M121" s="24">
        <f t="shared" si="7"/>
        <v>613.8</v>
      </c>
      <c r="N121" s="24">
        <f t="shared" si="7"/>
        <v>613.8</v>
      </c>
      <c r="O121" s="24">
        <f t="shared" si="7"/>
        <v>0</v>
      </c>
      <c r="P121" s="24">
        <f t="shared" si="7"/>
        <v>636.25</v>
      </c>
      <c r="Q121" s="21">
        <f>SUM(E121:P121)</f>
        <v>6774.250000000001</v>
      </c>
    </row>
    <row r="122" spans="1:17" ht="12.75">
      <c r="A122" s="38"/>
      <c r="B122" s="35"/>
      <c r="C122" s="35"/>
      <c r="D122" s="35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7"/>
    </row>
    <row r="123" spans="1:17" s="28" customFormat="1" ht="12.75">
      <c r="A123" s="7" t="s">
        <v>8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2.75">
      <c r="A124" s="17"/>
      <c r="B124" s="18" t="s">
        <v>218</v>
      </c>
      <c r="C124" s="19" t="s">
        <v>237</v>
      </c>
      <c r="D124" s="23" t="s">
        <v>61</v>
      </c>
      <c r="E124" s="20">
        <v>84</v>
      </c>
      <c r="F124" s="20">
        <v>84</v>
      </c>
      <c r="G124" s="20">
        <v>84</v>
      </c>
      <c r="H124" s="20">
        <v>84</v>
      </c>
      <c r="I124" s="20">
        <v>84</v>
      </c>
      <c r="J124" s="20">
        <v>84</v>
      </c>
      <c r="K124" s="20">
        <v>84</v>
      </c>
      <c r="L124" s="20">
        <v>84</v>
      </c>
      <c r="M124" s="20">
        <v>84</v>
      </c>
      <c r="N124" s="20">
        <v>84</v>
      </c>
      <c r="O124" s="20">
        <v>84</v>
      </c>
      <c r="P124" s="20">
        <v>84</v>
      </c>
      <c r="Q124" s="21">
        <f>SUM(E124:P124)</f>
        <v>1008</v>
      </c>
    </row>
    <row r="125" spans="1:17" ht="12.75">
      <c r="A125" s="22" t="s">
        <v>19</v>
      </c>
      <c r="B125" s="18" t="s">
        <v>65</v>
      </c>
      <c r="C125" s="19" t="s">
        <v>181</v>
      </c>
      <c r="D125" s="23" t="s">
        <v>20</v>
      </c>
      <c r="E125" s="20">
        <v>19077</v>
      </c>
      <c r="F125" s="20">
        <v>19077</v>
      </c>
      <c r="G125" s="20">
        <v>19077</v>
      </c>
      <c r="H125" s="20">
        <v>19077</v>
      </c>
      <c r="I125" s="20">
        <v>19077</v>
      </c>
      <c r="J125" s="20">
        <v>19077</v>
      </c>
      <c r="K125" s="20">
        <v>19077</v>
      </c>
      <c r="L125" s="20">
        <v>19077</v>
      </c>
      <c r="M125" s="20">
        <v>19077</v>
      </c>
      <c r="N125" s="20">
        <v>19077</v>
      </c>
      <c r="O125" s="20">
        <v>19077</v>
      </c>
      <c r="P125" s="20">
        <v>19077</v>
      </c>
      <c r="Q125" s="21">
        <f>SUM(E125:P125)</f>
        <v>228924</v>
      </c>
    </row>
    <row r="126" spans="1:17" ht="12.75">
      <c r="A126" s="22"/>
      <c r="B126" s="9"/>
      <c r="C126" s="9"/>
      <c r="D126" s="9"/>
      <c r="E126" s="24">
        <f aca="true" t="shared" si="8" ref="E126:P126">SUM(E124:E125)</f>
        <v>19161</v>
      </c>
      <c r="F126" s="24">
        <f t="shared" si="8"/>
        <v>19161</v>
      </c>
      <c r="G126" s="24">
        <f t="shared" si="8"/>
        <v>19161</v>
      </c>
      <c r="H126" s="24">
        <f>SUM(H124:H125)</f>
        <v>19161</v>
      </c>
      <c r="I126" s="24">
        <f t="shared" si="8"/>
        <v>19161</v>
      </c>
      <c r="J126" s="24">
        <f t="shared" si="8"/>
        <v>19161</v>
      </c>
      <c r="K126" s="24">
        <f t="shared" si="8"/>
        <v>19161</v>
      </c>
      <c r="L126" s="24">
        <f t="shared" si="8"/>
        <v>19161</v>
      </c>
      <c r="M126" s="24">
        <f t="shared" si="8"/>
        <v>19161</v>
      </c>
      <c r="N126" s="24">
        <f t="shared" si="8"/>
        <v>19161</v>
      </c>
      <c r="O126" s="24">
        <f t="shared" si="8"/>
        <v>19161</v>
      </c>
      <c r="P126" s="24">
        <f t="shared" si="8"/>
        <v>19161</v>
      </c>
      <c r="Q126" s="21">
        <f>SUM(E126:P126)</f>
        <v>229932</v>
      </c>
    </row>
    <row r="127" spans="1:17" ht="12.75">
      <c r="A127" s="34"/>
      <c r="B127" s="35"/>
      <c r="C127" s="35"/>
      <c r="D127" s="35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7"/>
    </row>
    <row r="128" spans="1:17" s="28" customFormat="1" ht="12.75">
      <c r="A128" s="7" t="s">
        <v>342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17" t="s">
        <v>31</v>
      </c>
      <c r="B129" s="18" t="s">
        <v>343</v>
      </c>
      <c r="C129" s="19" t="s">
        <v>344</v>
      </c>
      <c r="D129" s="33" t="s">
        <v>345</v>
      </c>
      <c r="E129" s="20"/>
      <c r="F129" s="20"/>
      <c r="G129" s="20"/>
      <c r="H129" s="20"/>
      <c r="I129" s="20"/>
      <c r="J129" s="20"/>
      <c r="K129" s="20">
        <v>21662.8</v>
      </c>
      <c r="L129" s="20">
        <v>1114.7</v>
      </c>
      <c r="M129" s="20">
        <v>0</v>
      </c>
      <c r="N129" s="20">
        <v>0</v>
      </c>
      <c r="O129" s="20">
        <v>0</v>
      </c>
      <c r="P129" s="20">
        <v>0</v>
      </c>
      <c r="Q129" s="21">
        <f>SUM(E129:P129)</f>
        <v>22777.5</v>
      </c>
    </row>
    <row r="130" spans="1:17" ht="12.75">
      <c r="A130" s="22"/>
      <c r="B130" s="9"/>
      <c r="C130" s="9"/>
      <c r="D130" s="9"/>
      <c r="E130" s="24">
        <f>SUM(E129)</f>
        <v>0</v>
      </c>
      <c r="F130" s="24">
        <f aca="true" t="shared" si="9" ref="F130:P130">SUM(F129)</f>
        <v>0</v>
      </c>
      <c r="G130" s="24">
        <f t="shared" si="9"/>
        <v>0</v>
      </c>
      <c r="H130" s="24">
        <f t="shared" si="9"/>
        <v>0</v>
      </c>
      <c r="I130" s="24">
        <f t="shared" si="9"/>
        <v>0</v>
      </c>
      <c r="J130" s="24">
        <f t="shared" si="9"/>
        <v>0</v>
      </c>
      <c r="K130" s="24">
        <f t="shared" si="9"/>
        <v>21662.8</v>
      </c>
      <c r="L130" s="24">
        <f t="shared" si="9"/>
        <v>1114.7</v>
      </c>
      <c r="M130" s="24">
        <f t="shared" si="9"/>
        <v>0</v>
      </c>
      <c r="N130" s="24">
        <f t="shared" si="9"/>
        <v>0</v>
      </c>
      <c r="O130" s="24">
        <f t="shared" si="9"/>
        <v>0</v>
      </c>
      <c r="P130" s="24">
        <f t="shared" si="9"/>
        <v>0</v>
      </c>
      <c r="Q130" s="21">
        <f>SUM(E130:P130)</f>
        <v>22777.5</v>
      </c>
    </row>
    <row r="131" spans="1:17" ht="12.75">
      <c r="A131" s="34"/>
      <c r="B131" s="35"/>
      <c r="C131" s="35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7"/>
    </row>
    <row r="132" spans="1:17" s="28" customFormat="1" ht="12.75">
      <c r="A132" s="7" t="s">
        <v>9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39"/>
      <c r="B133" s="18" t="s">
        <v>59</v>
      </c>
      <c r="C133" s="19" t="s">
        <v>132</v>
      </c>
      <c r="D133" s="23" t="s">
        <v>60</v>
      </c>
      <c r="E133" s="20">
        <f>1854.62+6150.26</f>
        <v>8004.88</v>
      </c>
      <c r="F133" s="20">
        <v>5148.1</v>
      </c>
      <c r="G133" s="20">
        <v>5189.6</v>
      </c>
      <c r="H133" s="20">
        <f>1646.7+5472.37</f>
        <v>7119.07</v>
      </c>
      <c r="I133" s="20">
        <f>6878.1+2095.8</f>
        <v>8973.900000000001</v>
      </c>
      <c r="J133" s="20">
        <f>1330.67+6824.15+399.2+2095.8</f>
        <v>10649.82</v>
      </c>
      <c r="K133" s="20">
        <v>9408.37</v>
      </c>
      <c r="L133" s="20">
        <v>9644.01</v>
      </c>
      <c r="M133" s="20">
        <v>9348.05</v>
      </c>
      <c r="N133" s="20">
        <v>7707.95</v>
      </c>
      <c r="O133" s="20">
        <v>12757.78</v>
      </c>
      <c r="P133" s="20">
        <v>10098.09</v>
      </c>
      <c r="Q133" s="21">
        <f>SUM(E133:P133)</f>
        <v>104049.62</v>
      </c>
    </row>
    <row r="134" spans="1:17" ht="25.5">
      <c r="A134" s="40"/>
      <c r="B134" s="18" t="s">
        <v>316</v>
      </c>
      <c r="C134" s="19" t="s">
        <v>317</v>
      </c>
      <c r="D134" s="23" t="s">
        <v>318</v>
      </c>
      <c r="E134" s="20">
        <v>0</v>
      </c>
      <c r="F134" s="20">
        <v>0</v>
      </c>
      <c r="G134" s="20">
        <v>0</v>
      </c>
      <c r="H134" s="20">
        <v>700</v>
      </c>
      <c r="I134" s="20">
        <v>700</v>
      </c>
      <c r="J134" s="20">
        <v>700</v>
      </c>
      <c r="K134" s="20">
        <v>700</v>
      </c>
      <c r="L134" s="20">
        <v>700</v>
      </c>
      <c r="M134" s="20">
        <v>700</v>
      </c>
      <c r="N134" s="20">
        <v>700</v>
      </c>
      <c r="O134" s="20">
        <v>700</v>
      </c>
      <c r="P134" s="20">
        <v>700</v>
      </c>
      <c r="Q134" s="21">
        <f>SUM(E134:P134)</f>
        <v>6300</v>
      </c>
    </row>
    <row r="135" spans="1:17" ht="12.75">
      <c r="A135" s="40"/>
      <c r="B135" s="18" t="s">
        <v>239</v>
      </c>
      <c r="C135" s="19" t="s">
        <v>355</v>
      </c>
      <c r="D135" s="23" t="s">
        <v>240</v>
      </c>
      <c r="E135" s="20">
        <v>484</v>
      </c>
      <c r="F135" s="20">
        <v>396</v>
      </c>
      <c r="G135" s="20">
        <v>1263.98</v>
      </c>
      <c r="H135" s="20">
        <v>715</v>
      </c>
      <c r="I135" s="20">
        <v>1045</v>
      </c>
      <c r="J135" s="20">
        <v>550</v>
      </c>
      <c r="K135" s="20">
        <v>1100</v>
      </c>
      <c r="L135" s="20">
        <v>550</v>
      </c>
      <c r="M135" s="20">
        <v>550</v>
      </c>
      <c r="N135" s="20">
        <v>495</v>
      </c>
      <c r="O135" s="20">
        <v>0</v>
      </c>
      <c r="P135" s="20">
        <v>670.42</v>
      </c>
      <c r="Q135" s="21">
        <f>SUM(E135:P135)</f>
        <v>7819.4</v>
      </c>
    </row>
    <row r="136" spans="1:17" ht="12.75">
      <c r="A136" s="22"/>
      <c r="B136" s="9"/>
      <c r="C136" s="9"/>
      <c r="D136" s="9"/>
      <c r="E136" s="24">
        <f>SUM(E133:E135)</f>
        <v>8488.880000000001</v>
      </c>
      <c r="F136" s="24">
        <f aca="true" t="shared" si="10" ref="F136:P136">SUM(F133:F135)</f>
        <v>5544.1</v>
      </c>
      <c r="G136" s="24">
        <f t="shared" si="10"/>
        <v>6453.58</v>
      </c>
      <c r="H136" s="24">
        <f t="shared" si="10"/>
        <v>8534.07</v>
      </c>
      <c r="I136" s="24">
        <f t="shared" si="10"/>
        <v>10718.900000000001</v>
      </c>
      <c r="J136" s="24">
        <f t="shared" si="10"/>
        <v>11899.82</v>
      </c>
      <c r="K136" s="24">
        <f t="shared" si="10"/>
        <v>11208.37</v>
      </c>
      <c r="L136" s="24">
        <f t="shared" si="10"/>
        <v>10894.01</v>
      </c>
      <c r="M136" s="24">
        <f t="shared" si="10"/>
        <v>10598.05</v>
      </c>
      <c r="N136" s="24">
        <f t="shared" si="10"/>
        <v>8902.95</v>
      </c>
      <c r="O136" s="24">
        <f t="shared" si="10"/>
        <v>13457.78</v>
      </c>
      <c r="P136" s="24">
        <f t="shared" si="10"/>
        <v>11468.51</v>
      </c>
      <c r="Q136" s="21">
        <f>SUM(E136:P136)</f>
        <v>118169.01999999999</v>
      </c>
    </row>
    <row r="137" spans="1:17" ht="12.75">
      <c r="A137" s="34"/>
      <c r="B137" s="35"/>
      <c r="C137" s="35"/>
      <c r="D137" s="3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7"/>
    </row>
    <row r="138" spans="1:17" s="28" customFormat="1" ht="12.75">
      <c r="A138" s="7" t="s">
        <v>10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25.5">
      <c r="A139" s="41" t="s">
        <v>30</v>
      </c>
      <c r="B139" s="18" t="s">
        <v>172</v>
      </c>
      <c r="C139" s="19" t="s">
        <v>171</v>
      </c>
      <c r="D139" s="42" t="s">
        <v>63</v>
      </c>
      <c r="E139" s="20">
        <v>0</v>
      </c>
      <c r="F139" s="20">
        <v>864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1">
        <f>SUM(E139:P139)</f>
        <v>864</v>
      </c>
    </row>
    <row r="140" spans="1:17" ht="12.75">
      <c r="A140" s="22"/>
      <c r="B140" s="43"/>
      <c r="C140" s="43"/>
      <c r="D140" s="43"/>
      <c r="E140" s="24">
        <f>SUM(E139:E139)</f>
        <v>0</v>
      </c>
      <c r="F140" s="24">
        <f aca="true" t="shared" si="11" ref="F140:P140">SUM(F139:F139)</f>
        <v>864</v>
      </c>
      <c r="G140" s="24">
        <f t="shared" si="11"/>
        <v>0</v>
      </c>
      <c r="H140" s="24">
        <f t="shared" si="11"/>
        <v>0</v>
      </c>
      <c r="I140" s="24">
        <f t="shared" si="11"/>
        <v>0</v>
      </c>
      <c r="J140" s="24">
        <f t="shared" si="11"/>
        <v>0</v>
      </c>
      <c r="K140" s="24">
        <f t="shared" si="11"/>
        <v>0</v>
      </c>
      <c r="L140" s="24">
        <f t="shared" si="11"/>
        <v>0</v>
      </c>
      <c r="M140" s="24">
        <f t="shared" si="11"/>
        <v>0</v>
      </c>
      <c r="N140" s="24">
        <f t="shared" si="11"/>
        <v>0</v>
      </c>
      <c r="O140" s="24">
        <f t="shared" si="11"/>
        <v>0</v>
      </c>
      <c r="P140" s="24">
        <f t="shared" si="11"/>
        <v>0</v>
      </c>
      <c r="Q140" s="21">
        <f>SUM(E140:P140)</f>
        <v>864</v>
      </c>
    </row>
    <row r="141" spans="1:17" ht="12.75">
      <c r="A141" s="34"/>
      <c r="B141" s="44"/>
      <c r="C141" s="45"/>
      <c r="D141" s="4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7"/>
    </row>
    <row r="142" spans="1:17" s="28" customFormat="1" ht="12.75">
      <c r="A142" s="7" t="s">
        <v>11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17"/>
      <c r="B143" s="18" t="s">
        <v>217</v>
      </c>
      <c r="C143" s="19" t="s">
        <v>244</v>
      </c>
      <c r="D143" s="18" t="s">
        <v>25</v>
      </c>
      <c r="E143" s="20">
        <v>8135.49</v>
      </c>
      <c r="F143" s="20">
        <v>8148.47</v>
      </c>
      <c r="G143" s="20">
        <v>7869.18</v>
      </c>
      <c r="H143" s="20">
        <v>8263.2</v>
      </c>
      <c r="I143" s="20">
        <v>8980.2</v>
      </c>
      <c r="J143" s="20">
        <v>8719.48</v>
      </c>
      <c r="K143" s="20">
        <v>8377.11</v>
      </c>
      <c r="L143" s="20">
        <v>8521.92</v>
      </c>
      <c r="M143" s="20">
        <v>8232.13</v>
      </c>
      <c r="N143" s="20">
        <v>8531.93</v>
      </c>
      <c r="O143" s="20">
        <v>6272.15</v>
      </c>
      <c r="P143" s="20">
        <v>6650.44</v>
      </c>
      <c r="Q143" s="21">
        <f>SUM(E143:P143)</f>
        <v>96701.70000000001</v>
      </c>
    </row>
    <row r="144" spans="1:17" ht="12.75">
      <c r="A144" s="22"/>
      <c r="B144" s="43"/>
      <c r="C144" s="43"/>
      <c r="D144" s="43"/>
      <c r="E144" s="24">
        <f aca="true" t="shared" si="12" ref="E144:P144">SUM(E143:E143)</f>
        <v>8135.49</v>
      </c>
      <c r="F144" s="24">
        <f t="shared" si="12"/>
        <v>8148.47</v>
      </c>
      <c r="G144" s="24">
        <f t="shared" si="12"/>
        <v>7869.18</v>
      </c>
      <c r="H144" s="24">
        <f t="shared" si="12"/>
        <v>8263.2</v>
      </c>
      <c r="I144" s="24">
        <f t="shared" si="12"/>
        <v>8980.2</v>
      </c>
      <c r="J144" s="24">
        <f t="shared" si="12"/>
        <v>8719.48</v>
      </c>
      <c r="K144" s="24">
        <f t="shared" si="12"/>
        <v>8377.11</v>
      </c>
      <c r="L144" s="24">
        <f t="shared" si="12"/>
        <v>8521.92</v>
      </c>
      <c r="M144" s="24">
        <f t="shared" si="12"/>
        <v>8232.13</v>
      </c>
      <c r="N144" s="24">
        <f t="shared" si="12"/>
        <v>8531.93</v>
      </c>
      <c r="O144" s="24">
        <f t="shared" si="12"/>
        <v>6272.15</v>
      </c>
      <c r="P144" s="24">
        <f t="shared" si="12"/>
        <v>6650.44</v>
      </c>
      <c r="Q144" s="21">
        <f>SUM(E144:P144)</f>
        <v>96701.70000000001</v>
      </c>
    </row>
    <row r="145" spans="1:17" ht="12.75">
      <c r="A145" s="34"/>
      <c r="B145" s="44"/>
      <c r="C145" s="45"/>
      <c r="D145" s="4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7"/>
    </row>
    <row r="146" spans="1:17" s="28" customFormat="1" ht="12.75">
      <c r="A146" s="7" t="s">
        <v>12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25.5">
      <c r="A147" s="17"/>
      <c r="B147" s="18" t="s">
        <v>326</v>
      </c>
      <c r="C147" s="19" t="s">
        <v>327</v>
      </c>
      <c r="D147" s="18" t="s">
        <v>358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2666.67</v>
      </c>
      <c r="K147" s="20">
        <v>2666.67</v>
      </c>
      <c r="L147" s="20">
        <v>2666.67</v>
      </c>
      <c r="M147" s="20">
        <v>2666.67</v>
      </c>
      <c r="N147" s="20">
        <v>2666.67</v>
      </c>
      <c r="O147" s="20">
        <v>2666.67</v>
      </c>
      <c r="P147" s="20">
        <v>2666.67</v>
      </c>
      <c r="Q147" s="21">
        <f>SUM(E147:P147)</f>
        <v>18666.690000000002</v>
      </c>
    </row>
    <row r="148" spans="1:17" ht="12.75">
      <c r="A148" s="22"/>
      <c r="B148" s="9"/>
      <c r="C148" s="9"/>
      <c r="D148" s="9"/>
      <c r="E148" s="24">
        <f>SUM(E147)</f>
        <v>0</v>
      </c>
      <c r="F148" s="24">
        <f aca="true" t="shared" si="13" ref="F148:P148">SUM(F147)</f>
        <v>0</v>
      </c>
      <c r="G148" s="24">
        <f t="shared" si="13"/>
        <v>0</v>
      </c>
      <c r="H148" s="24">
        <f t="shared" si="13"/>
        <v>0</v>
      </c>
      <c r="I148" s="24">
        <f t="shared" si="13"/>
        <v>0</v>
      </c>
      <c r="J148" s="24">
        <f t="shared" si="13"/>
        <v>2666.67</v>
      </c>
      <c r="K148" s="24">
        <f t="shared" si="13"/>
        <v>2666.67</v>
      </c>
      <c r="L148" s="24">
        <f t="shared" si="13"/>
        <v>2666.67</v>
      </c>
      <c r="M148" s="24">
        <f t="shared" si="13"/>
        <v>2666.67</v>
      </c>
      <c r="N148" s="24">
        <f t="shared" si="13"/>
        <v>2666.67</v>
      </c>
      <c r="O148" s="24">
        <f t="shared" si="13"/>
        <v>2666.67</v>
      </c>
      <c r="P148" s="24">
        <f t="shared" si="13"/>
        <v>2666.67</v>
      </c>
      <c r="Q148" s="21">
        <f>SUM(E148:P148)</f>
        <v>18666.690000000002</v>
      </c>
    </row>
    <row r="149" spans="1:17" ht="12.75">
      <c r="A149" s="34"/>
      <c r="B149" s="35"/>
      <c r="C149" s="35"/>
      <c r="D149" s="3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7"/>
    </row>
    <row r="150" spans="1:17" s="28" customFormat="1" ht="12.75">
      <c r="A150" s="7" t="s">
        <v>13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25.5">
      <c r="A151" s="17"/>
      <c r="B151" s="18" t="s">
        <v>143</v>
      </c>
      <c r="C151" s="19" t="s">
        <v>144</v>
      </c>
      <c r="D151" s="18" t="s">
        <v>33</v>
      </c>
      <c r="E151" s="20">
        <v>5000</v>
      </c>
      <c r="F151" s="20">
        <v>5000</v>
      </c>
      <c r="G151" s="20">
        <v>5000</v>
      </c>
      <c r="H151" s="20">
        <v>5000</v>
      </c>
      <c r="I151" s="20">
        <v>5000</v>
      </c>
      <c r="J151" s="20">
        <v>5000</v>
      </c>
      <c r="K151" s="20">
        <v>5000</v>
      </c>
      <c r="L151" s="20">
        <v>5000</v>
      </c>
      <c r="M151" s="20">
        <v>5000</v>
      </c>
      <c r="N151" s="20">
        <v>5000</v>
      </c>
      <c r="O151" s="20">
        <v>0</v>
      </c>
      <c r="P151" s="20">
        <v>0</v>
      </c>
      <c r="Q151" s="21">
        <f aca="true" t="shared" si="14" ref="Q151:Q157">SUM(E151:P151)</f>
        <v>50000</v>
      </c>
    </row>
    <row r="152" spans="1:17" ht="12.75">
      <c r="A152" s="22"/>
      <c r="B152" s="18" t="s">
        <v>67</v>
      </c>
      <c r="C152" s="19" t="s">
        <v>133</v>
      </c>
      <c r="D152" s="18" t="s">
        <v>129</v>
      </c>
      <c r="E152" s="20">
        <v>1190</v>
      </c>
      <c r="F152" s="20">
        <v>1190</v>
      </c>
      <c r="G152" s="20">
        <v>1190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1">
        <f t="shared" si="14"/>
        <v>3570</v>
      </c>
    </row>
    <row r="153" spans="1:17" ht="12.75">
      <c r="A153" s="22" t="s">
        <v>40</v>
      </c>
      <c r="B153" s="18" t="s">
        <v>341</v>
      </c>
      <c r="C153" s="19" t="s">
        <v>134</v>
      </c>
      <c r="D153" s="18" t="s">
        <v>130</v>
      </c>
      <c r="E153" s="20">
        <v>250</v>
      </c>
      <c r="F153" s="20">
        <v>250</v>
      </c>
      <c r="G153" s="20">
        <v>250</v>
      </c>
      <c r="H153" s="20">
        <v>250</v>
      </c>
      <c r="I153" s="20">
        <v>250</v>
      </c>
      <c r="J153" s="20">
        <v>250</v>
      </c>
      <c r="K153" s="20">
        <v>250</v>
      </c>
      <c r="L153" s="20">
        <v>250</v>
      </c>
      <c r="M153" s="20">
        <v>250</v>
      </c>
      <c r="N153" s="20">
        <v>250</v>
      </c>
      <c r="O153" s="20">
        <v>250</v>
      </c>
      <c r="P153" s="20">
        <v>250</v>
      </c>
      <c r="Q153" s="21">
        <f t="shared" si="14"/>
        <v>3000</v>
      </c>
    </row>
    <row r="154" spans="1:17" ht="12.75">
      <c r="A154" s="22"/>
      <c r="B154" s="18" t="s">
        <v>212</v>
      </c>
      <c r="C154" s="19" t="s">
        <v>170</v>
      </c>
      <c r="D154" s="18" t="s">
        <v>169</v>
      </c>
      <c r="E154" s="20">
        <v>16000</v>
      </c>
      <c r="F154" s="20">
        <v>16000</v>
      </c>
      <c r="G154" s="20">
        <v>16000</v>
      </c>
      <c r="H154" s="20">
        <v>16000</v>
      </c>
      <c r="I154" s="20">
        <v>16000</v>
      </c>
      <c r="J154" s="20">
        <v>16000</v>
      </c>
      <c r="K154" s="20">
        <v>16000</v>
      </c>
      <c r="L154" s="20">
        <v>16000</v>
      </c>
      <c r="M154" s="20">
        <v>16000</v>
      </c>
      <c r="N154" s="20">
        <v>16000</v>
      </c>
      <c r="O154" s="20">
        <v>16000</v>
      </c>
      <c r="P154" s="20">
        <v>16000</v>
      </c>
      <c r="Q154" s="21">
        <f>SUM(E154:P154)</f>
        <v>192000</v>
      </c>
    </row>
    <row r="155" spans="1:17" ht="25.5">
      <c r="A155" s="22"/>
      <c r="B155" s="18" t="s">
        <v>241</v>
      </c>
      <c r="C155" s="19" t="s">
        <v>242</v>
      </c>
      <c r="D155" s="47" t="s">
        <v>243</v>
      </c>
      <c r="E155" s="20">
        <v>1500</v>
      </c>
      <c r="F155" s="20">
        <v>1500</v>
      </c>
      <c r="G155" s="20">
        <v>1500</v>
      </c>
      <c r="H155" s="20">
        <v>1500</v>
      </c>
      <c r="I155" s="20">
        <v>1500</v>
      </c>
      <c r="J155" s="20">
        <v>1500</v>
      </c>
      <c r="K155" s="20">
        <v>1500</v>
      </c>
      <c r="L155" s="20">
        <v>1500</v>
      </c>
      <c r="M155" s="20">
        <v>1500</v>
      </c>
      <c r="N155" s="20">
        <v>1500</v>
      </c>
      <c r="O155" s="20">
        <v>1500</v>
      </c>
      <c r="P155" s="20">
        <v>1500</v>
      </c>
      <c r="Q155" s="21">
        <f>SUM(E155:P155)</f>
        <v>18000</v>
      </c>
    </row>
    <row r="156" spans="1:17" ht="12.75">
      <c r="A156" s="22" t="s">
        <v>27</v>
      </c>
      <c r="B156" s="18" t="s">
        <v>14</v>
      </c>
      <c r="C156" s="19" t="s">
        <v>29</v>
      </c>
      <c r="D156" s="18" t="s">
        <v>28</v>
      </c>
      <c r="E156" s="20">
        <v>2619.69</v>
      </c>
      <c r="F156" s="20">
        <v>2619.69</v>
      </c>
      <c r="G156" s="20">
        <v>2619.69</v>
      </c>
      <c r="H156" s="20">
        <v>2619.69</v>
      </c>
      <c r="I156" s="20">
        <v>2619.69</v>
      </c>
      <c r="J156" s="20">
        <v>2619.69</v>
      </c>
      <c r="K156" s="20">
        <v>2619.69</v>
      </c>
      <c r="L156" s="20">
        <v>2619.69</v>
      </c>
      <c r="M156" s="20">
        <v>2619.69</v>
      </c>
      <c r="N156" s="20">
        <v>2619.69</v>
      </c>
      <c r="O156" s="20">
        <v>2619.69</v>
      </c>
      <c r="P156" s="20">
        <v>0</v>
      </c>
      <c r="Q156" s="21">
        <f t="shared" si="14"/>
        <v>28816.589999999997</v>
      </c>
    </row>
    <row r="157" spans="1:17" ht="12.75">
      <c r="A157" s="22"/>
      <c r="B157" s="9"/>
      <c r="C157" s="9"/>
      <c r="D157" s="9"/>
      <c r="E157" s="24">
        <f aca="true" t="shared" si="15" ref="E157:P157">SUM(E151:E156)</f>
        <v>26559.69</v>
      </c>
      <c r="F157" s="24">
        <f t="shared" si="15"/>
        <v>26559.69</v>
      </c>
      <c r="G157" s="24">
        <f t="shared" si="15"/>
        <v>26559.69</v>
      </c>
      <c r="H157" s="24">
        <f t="shared" si="15"/>
        <v>25369.69</v>
      </c>
      <c r="I157" s="24">
        <f t="shared" si="15"/>
        <v>25369.69</v>
      </c>
      <c r="J157" s="24">
        <f t="shared" si="15"/>
        <v>25369.69</v>
      </c>
      <c r="K157" s="24">
        <f t="shared" si="15"/>
        <v>25369.69</v>
      </c>
      <c r="L157" s="24">
        <f t="shared" si="15"/>
        <v>25369.69</v>
      </c>
      <c r="M157" s="24">
        <f t="shared" si="15"/>
        <v>25369.69</v>
      </c>
      <c r="N157" s="24">
        <f t="shared" si="15"/>
        <v>25369.69</v>
      </c>
      <c r="O157" s="24">
        <f t="shared" si="15"/>
        <v>20369.69</v>
      </c>
      <c r="P157" s="24">
        <f t="shared" si="15"/>
        <v>17750</v>
      </c>
      <c r="Q157" s="21">
        <f t="shared" si="14"/>
        <v>295386.58999999997</v>
      </c>
    </row>
    <row r="158" spans="1:17" ht="12.75">
      <c r="A158" s="48"/>
      <c r="B158" s="44"/>
      <c r="C158" s="45"/>
      <c r="D158" s="4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7"/>
    </row>
    <row r="159" spans="1:17" s="28" customFormat="1" ht="12.75">
      <c r="A159" s="7" t="s">
        <v>238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22" t="s">
        <v>27</v>
      </c>
      <c r="B160" s="18" t="s">
        <v>220</v>
      </c>
      <c r="C160" s="19" t="s">
        <v>219</v>
      </c>
      <c r="D160" s="18" t="s">
        <v>223</v>
      </c>
      <c r="E160" s="20">
        <v>2000</v>
      </c>
      <c r="F160" s="20">
        <v>2000</v>
      </c>
      <c r="G160" s="20">
        <v>2000</v>
      </c>
      <c r="H160" s="20">
        <v>2000</v>
      </c>
      <c r="I160" s="20">
        <v>2000</v>
      </c>
      <c r="J160" s="20">
        <v>2000</v>
      </c>
      <c r="K160" s="20">
        <v>2000</v>
      </c>
      <c r="L160" s="20">
        <v>2000</v>
      </c>
      <c r="M160" s="20">
        <v>2000</v>
      </c>
      <c r="N160" s="20">
        <v>2000</v>
      </c>
      <c r="O160" s="20">
        <v>2000</v>
      </c>
      <c r="P160" s="20">
        <v>2000</v>
      </c>
      <c r="Q160" s="21">
        <f>SUM(E160:P160)</f>
        <v>24000</v>
      </c>
    </row>
    <row r="161" spans="1:17" ht="12.75">
      <c r="A161" s="22"/>
      <c r="B161" s="18" t="s">
        <v>222</v>
      </c>
      <c r="C161" s="19" t="s">
        <v>221</v>
      </c>
      <c r="D161" s="23" t="s">
        <v>223</v>
      </c>
      <c r="E161" s="20">
        <v>2000</v>
      </c>
      <c r="F161" s="20">
        <v>2000</v>
      </c>
      <c r="G161" s="20">
        <v>2000</v>
      </c>
      <c r="H161" s="20">
        <v>2000</v>
      </c>
      <c r="I161" s="20">
        <v>2000</v>
      </c>
      <c r="J161" s="20">
        <v>2000</v>
      </c>
      <c r="K161" s="20">
        <v>2000</v>
      </c>
      <c r="L161" s="20">
        <v>2000</v>
      </c>
      <c r="M161" s="20">
        <v>2000</v>
      </c>
      <c r="N161" s="20">
        <v>2000</v>
      </c>
      <c r="O161" s="20">
        <v>2000</v>
      </c>
      <c r="P161" s="20">
        <v>2000</v>
      </c>
      <c r="Q161" s="21">
        <f>SUM(E161:P161)</f>
        <v>24000</v>
      </c>
    </row>
    <row r="162" spans="1:17" ht="12.75">
      <c r="A162" s="22"/>
      <c r="B162" s="9"/>
      <c r="C162" s="9"/>
      <c r="D162" s="9"/>
      <c r="E162" s="24">
        <f aca="true" t="shared" si="16" ref="E162:P162">SUM(E160:E161)</f>
        <v>4000</v>
      </c>
      <c r="F162" s="24">
        <f t="shared" si="16"/>
        <v>4000</v>
      </c>
      <c r="G162" s="24">
        <f t="shared" si="16"/>
        <v>4000</v>
      </c>
      <c r="H162" s="24">
        <f t="shared" si="16"/>
        <v>4000</v>
      </c>
      <c r="I162" s="24">
        <f t="shared" si="16"/>
        <v>4000</v>
      </c>
      <c r="J162" s="24">
        <f t="shared" si="16"/>
        <v>4000</v>
      </c>
      <c r="K162" s="24">
        <f t="shared" si="16"/>
        <v>4000</v>
      </c>
      <c r="L162" s="24">
        <f t="shared" si="16"/>
        <v>4000</v>
      </c>
      <c r="M162" s="24">
        <f t="shared" si="16"/>
        <v>4000</v>
      </c>
      <c r="N162" s="24">
        <f t="shared" si="16"/>
        <v>4000</v>
      </c>
      <c r="O162" s="24">
        <f t="shared" si="16"/>
        <v>4000</v>
      </c>
      <c r="P162" s="24">
        <f t="shared" si="16"/>
        <v>4000</v>
      </c>
      <c r="Q162" s="24">
        <f>SUM(E162:P162)</f>
        <v>48000</v>
      </c>
    </row>
    <row r="163" spans="1:17" s="28" customFormat="1" ht="12.75">
      <c r="A163" s="31"/>
      <c r="B163" s="49"/>
      <c r="C163" s="16"/>
      <c r="D163" s="50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s="28" customFormat="1" ht="12.75">
      <c r="A164" s="31"/>
      <c r="B164" s="7" t="s">
        <v>53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17"/>
      <c r="B165" s="18" t="s">
        <v>201</v>
      </c>
      <c r="C165" s="19" t="s">
        <v>202</v>
      </c>
      <c r="D165" s="23" t="s">
        <v>39</v>
      </c>
      <c r="E165" s="20">
        <v>1000</v>
      </c>
      <c r="F165" s="20">
        <v>1000</v>
      </c>
      <c r="G165" s="20">
        <v>1000</v>
      </c>
      <c r="H165" s="20">
        <v>1000</v>
      </c>
      <c r="I165" s="20">
        <v>1000</v>
      </c>
      <c r="J165" s="20">
        <v>1000</v>
      </c>
      <c r="K165" s="20">
        <v>1000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1">
        <f>SUM(E165:P165)</f>
        <v>7000</v>
      </c>
    </row>
    <row r="166" spans="1:17" ht="12.75">
      <c r="A166" s="22"/>
      <c r="B166" s="18" t="s">
        <v>346</v>
      </c>
      <c r="C166" s="19" t="s">
        <v>356</v>
      </c>
      <c r="D166" s="23" t="s">
        <v>39</v>
      </c>
      <c r="E166" s="20"/>
      <c r="F166" s="20"/>
      <c r="G166" s="20"/>
      <c r="H166" s="20"/>
      <c r="I166" s="20"/>
      <c r="J166" s="20"/>
      <c r="K166" s="20"/>
      <c r="L166" s="20"/>
      <c r="M166" s="20">
        <v>0</v>
      </c>
      <c r="N166" s="20">
        <v>1896.15</v>
      </c>
      <c r="O166" s="20">
        <v>1500</v>
      </c>
      <c r="P166" s="20">
        <v>1500</v>
      </c>
      <c r="Q166" s="21">
        <f>SUM(E166:P166)</f>
        <v>4896.15</v>
      </c>
    </row>
    <row r="167" spans="1:17" s="4" customFormat="1" ht="12.75">
      <c r="A167" s="51"/>
      <c r="B167" s="9"/>
      <c r="C167" s="9"/>
      <c r="D167" s="9"/>
      <c r="E167" s="24">
        <f>SUM(E165:E166)</f>
        <v>1000</v>
      </c>
      <c r="F167" s="24">
        <f aca="true" t="shared" si="17" ref="F167:P167">SUM(F165:F166)</f>
        <v>1000</v>
      </c>
      <c r="G167" s="24">
        <f t="shared" si="17"/>
        <v>1000</v>
      </c>
      <c r="H167" s="24">
        <f t="shared" si="17"/>
        <v>1000</v>
      </c>
      <c r="I167" s="24">
        <f t="shared" si="17"/>
        <v>1000</v>
      </c>
      <c r="J167" s="24">
        <f t="shared" si="17"/>
        <v>1000</v>
      </c>
      <c r="K167" s="24">
        <f t="shared" si="17"/>
        <v>1000</v>
      </c>
      <c r="L167" s="24">
        <f t="shared" si="17"/>
        <v>0</v>
      </c>
      <c r="M167" s="24">
        <f t="shared" si="17"/>
        <v>0</v>
      </c>
      <c r="N167" s="24">
        <f t="shared" si="17"/>
        <v>1896.15</v>
      </c>
      <c r="O167" s="24">
        <f t="shared" si="17"/>
        <v>1500</v>
      </c>
      <c r="P167" s="24">
        <f t="shared" si="17"/>
        <v>1500</v>
      </c>
      <c r="Q167" s="21">
        <f>SUM(E167:P167)</f>
        <v>11896.15</v>
      </c>
    </row>
    <row r="168" spans="1:17" ht="12.75">
      <c r="A168" s="34"/>
      <c r="B168" s="44"/>
      <c r="C168" s="45"/>
      <c r="D168" s="4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7"/>
    </row>
    <row r="169" spans="1:17" s="28" customFormat="1" ht="12.75">
      <c r="A169" s="7" t="s">
        <v>37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25.5">
      <c r="A170" s="17"/>
      <c r="B170" s="18" t="s">
        <v>173</v>
      </c>
      <c r="C170" s="19" t="s">
        <v>174</v>
      </c>
      <c r="D170" s="23" t="s">
        <v>38</v>
      </c>
      <c r="E170" s="20">
        <v>12422.09</v>
      </c>
      <c r="F170" s="20">
        <v>12842.68</v>
      </c>
      <c r="G170" s="20">
        <v>12900.88</v>
      </c>
      <c r="H170" s="20">
        <v>13207.65</v>
      </c>
      <c r="I170" s="20">
        <v>12897.69</v>
      </c>
      <c r="J170" s="20">
        <v>12957.42</v>
      </c>
      <c r="K170" s="20">
        <v>13707.3</v>
      </c>
      <c r="L170" s="20">
        <v>14638.12</v>
      </c>
      <c r="M170" s="20">
        <v>13823.75</v>
      </c>
      <c r="N170" s="20">
        <v>15831.33</v>
      </c>
      <c r="O170" s="20">
        <v>13660.95</v>
      </c>
      <c r="P170" s="20">
        <v>13354.78</v>
      </c>
      <c r="Q170" s="21">
        <f>SUM(E170:P170)</f>
        <v>162244.64</v>
      </c>
    </row>
    <row r="171" spans="1:17" ht="12.75">
      <c r="A171" s="48"/>
      <c r="B171" s="9"/>
      <c r="C171" s="9"/>
      <c r="D171" s="9"/>
      <c r="E171" s="24">
        <f aca="true" t="shared" si="18" ref="E171:P171">SUM(E170:E170)</f>
        <v>12422.09</v>
      </c>
      <c r="F171" s="24">
        <f t="shared" si="18"/>
        <v>12842.68</v>
      </c>
      <c r="G171" s="24">
        <f t="shared" si="18"/>
        <v>12900.88</v>
      </c>
      <c r="H171" s="24">
        <f t="shared" si="18"/>
        <v>13207.65</v>
      </c>
      <c r="I171" s="24">
        <f t="shared" si="18"/>
        <v>12897.69</v>
      </c>
      <c r="J171" s="24">
        <f t="shared" si="18"/>
        <v>12957.42</v>
      </c>
      <c r="K171" s="24">
        <f t="shared" si="18"/>
        <v>13707.3</v>
      </c>
      <c r="L171" s="24">
        <f t="shared" si="18"/>
        <v>14638.12</v>
      </c>
      <c r="M171" s="24">
        <f t="shared" si="18"/>
        <v>13823.75</v>
      </c>
      <c r="N171" s="24">
        <f t="shared" si="18"/>
        <v>15831.33</v>
      </c>
      <c r="O171" s="24">
        <f t="shared" si="18"/>
        <v>13660.95</v>
      </c>
      <c r="P171" s="24">
        <f t="shared" si="18"/>
        <v>13354.78</v>
      </c>
      <c r="Q171" s="21">
        <f>SUM(E171:P171)</f>
        <v>162244.64</v>
      </c>
    </row>
    <row r="172" spans="1:17" s="50" customFormat="1" ht="12.75">
      <c r="A172" s="52"/>
      <c r="B172" s="49"/>
      <c r="C172" s="1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7"/>
    </row>
    <row r="173" spans="1:17" s="28" customFormat="1" ht="12.75">
      <c r="A173" s="7" t="s">
        <v>207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53"/>
      <c r="B174" s="18" t="s">
        <v>208</v>
      </c>
      <c r="C174" s="19" t="s">
        <v>209</v>
      </c>
      <c r="D174" s="33" t="s">
        <v>357</v>
      </c>
      <c r="E174" s="20">
        <v>2800</v>
      </c>
      <c r="F174" s="20">
        <v>2800</v>
      </c>
      <c r="G174" s="20">
        <v>2800</v>
      </c>
      <c r="H174" s="20">
        <v>2800</v>
      </c>
      <c r="I174" s="20">
        <v>2800</v>
      </c>
      <c r="J174" s="20">
        <v>2800</v>
      </c>
      <c r="K174" s="20">
        <v>2800</v>
      </c>
      <c r="L174" s="20">
        <v>2800</v>
      </c>
      <c r="M174" s="20">
        <v>2800</v>
      </c>
      <c r="N174" s="20">
        <v>2800</v>
      </c>
      <c r="O174" s="20">
        <v>2800</v>
      </c>
      <c r="P174" s="20">
        <v>2800</v>
      </c>
      <c r="Q174" s="21">
        <f>SUM(E174:P174)</f>
        <v>33600</v>
      </c>
    </row>
    <row r="175" spans="1:17" ht="12.75">
      <c r="A175" s="22"/>
      <c r="B175" s="9"/>
      <c r="C175" s="9"/>
      <c r="D175" s="9"/>
      <c r="E175" s="24">
        <f aca="true" t="shared" si="19" ref="E175:P175">SUM(E174:E174)</f>
        <v>2800</v>
      </c>
      <c r="F175" s="24">
        <f t="shared" si="19"/>
        <v>2800</v>
      </c>
      <c r="G175" s="24">
        <f t="shared" si="19"/>
        <v>2800</v>
      </c>
      <c r="H175" s="24">
        <f t="shared" si="19"/>
        <v>2800</v>
      </c>
      <c r="I175" s="24">
        <f t="shared" si="19"/>
        <v>2800</v>
      </c>
      <c r="J175" s="24">
        <f t="shared" si="19"/>
        <v>2800</v>
      </c>
      <c r="K175" s="24">
        <f t="shared" si="19"/>
        <v>2800</v>
      </c>
      <c r="L175" s="24">
        <f t="shared" si="19"/>
        <v>2800</v>
      </c>
      <c r="M175" s="24">
        <f t="shared" si="19"/>
        <v>2800</v>
      </c>
      <c r="N175" s="24">
        <f t="shared" si="19"/>
        <v>2800</v>
      </c>
      <c r="O175" s="24">
        <f t="shared" si="19"/>
        <v>2800</v>
      </c>
      <c r="P175" s="24">
        <f t="shared" si="19"/>
        <v>2800</v>
      </c>
      <c r="Q175" s="21">
        <f>SUM(E175:P175)</f>
        <v>33600</v>
      </c>
    </row>
    <row r="176" spans="1:17" s="50" customFormat="1" ht="12.75">
      <c r="A176" s="52"/>
      <c r="B176" s="49"/>
      <c r="C176" s="1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7"/>
    </row>
    <row r="181" spans="1:17" ht="15" customHeight="1">
      <c r="A181" s="54" t="s">
        <v>32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</row>
    <row r="182" spans="2:17" ht="15" customHeight="1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</row>
    <row r="183" ht="12.75">
      <c r="B183" s="3"/>
    </row>
  </sheetData>
  <sheetProtection/>
  <mergeCells count="52">
    <mergeCell ref="L12:L13"/>
    <mergeCell ref="M12:M13"/>
    <mergeCell ref="N12:N13"/>
    <mergeCell ref="B175:D175"/>
    <mergeCell ref="A128:Q128"/>
    <mergeCell ref="A169:Q169"/>
    <mergeCell ref="A173:Q173"/>
    <mergeCell ref="B144:D144"/>
    <mergeCell ref="B167:D167"/>
    <mergeCell ref="B112:D112"/>
    <mergeCell ref="B117:D117"/>
    <mergeCell ref="A15:Q15"/>
    <mergeCell ref="A25:Q25"/>
    <mergeCell ref="A114:Q114"/>
    <mergeCell ref="B171:D171"/>
    <mergeCell ref="A146:Q146"/>
    <mergeCell ref="B140:D140"/>
    <mergeCell ref="A150:Q150"/>
    <mergeCell ref="B164:Q164"/>
    <mergeCell ref="B148:D148"/>
    <mergeCell ref="B157:D157"/>
    <mergeCell ref="B162:D162"/>
    <mergeCell ref="A159:Q159"/>
    <mergeCell ref="K12:K13"/>
    <mergeCell ref="A119:Q119"/>
    <mergeCell ref="A123:Q123"/>
    <mergeCell ref="A132:Q132"/>
    <mergeCell ref="A138:Q138"/>
    <mergeCell ref="A142:Q142"/>
    <mergeCell ref="A121:D121"/>
    <mergeCell ref="B126:D126"/>
    <mergeCell ref="B130:D130"/>
    <mergeCell ref="B136:D136"/>
    <mergeCell ref="B8:Q8"/>
    <mergeCell ref="A29:Q29"/>
    <mergeCell ref="B23:D23"/>
    <mergeCell ref="B27:D27"/>
    <mergeCell ref="O12:O13"/>
    <mergeCell ref="A12:A13"/>
    <mergeCell ref="P12:P13"/>
    <mergeCell ref="Q12:Q13"/>
    <mergeCell ref="F12:F13"/>
    <mergeCell ref="B181:Q181"/>
    <mergeCell ref="B182:Q182"/>
    <mergeCell ref="B12:B13"/>
    <mergeCell ref="C12:C13"/>
    <mergeCell ref="D12:D13"/>
    <mergeCell ref="E12:E13"/>
    <mergeCell ref="G12:G13"/>
    <mergeCell ref="H12:H13"/>
    <mergeCell ref="I12:I13"/>
    <mergeCell ref="J12:J13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2020-04-11T18:31:43Z</cp:lastPrinted>
  <dcterms:created xsi:type="dcterms:W3CDTF">2011-09-02T13:51:41Z</dcterms:created>
  <dcterms:modified xsi:type="dcterms:W3CDTF">2020-05-14T19:41:19Z</dcterms:modified>
  <cp:category/>
  <cp:version/>
  <cp:contentType/>
  <cp:contentStatus/>
</cp:coreProperties>
</file>