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tabRatio="538" activeTab="0"/>
  </bookViews>
  <sheets>
    <sheet name="contratos 2021" sheetId="1" r:id="rId1"/>
    <sheet name="contratos 2020 (2)" sheetId="2" state="hidden" r:id="rId2"/>
    <sheet name="Plan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Alessandro</author>
  </authors>
  <commentList>
    <comment ref="T156" authorId="0">
      <text>
        <r>
          <rPr>
            <b/>
            <sz val="8"/>
            <rFont val="Tahoma"/>
            <family val="2"/>
          </rPr>
          <t>Alessandro:</t>
        </r>
        <r>
          <rPr>
            <sz val="8"/>
            <rFont val="Tahoma"/>
            <family val="2"/>
          </rPr>
          <t xml:space="preserve">
68406 e 68683</t>
        </r>
      </text>
    </comment>
  </commentList>
</comments>
</file>

<file path=xl/sharedStrings.xml><?xml version="1.0" encoding="utf-8"?>
<sst xmlns="http://schemas.openxmlformats.org/spreadsheetml/2006/main" count="1844" uniqueCount="469">
  <si>
    <t>Total</t>
  </si>
  <si>
    <t>FEVEREIRO</t>
  </si>
  <si>
    <t>JANEIRO</t>
  </si>
  <si>
    <t>TOTAL</t>
  </si>
  <si>
    <t>Elevadores Atlas Schindler S/A</t>
  </si>
  <si>
    <t>Total Geral</t>
  </si>
  <si>
    <t>Nome do Fornecedor</t>
  </si>
  <si>
    <t>Objeto do Contrato</t>
  </si>
  <si>
    <t>N° do CPF/CNPJ</t>
  </si>
  <si>
    <t>controlador de acesso/porteiro</t>
  </si>
  <si>
    <t>Auditoria Contábil</t>
  </si>
  <si>
    <t>Manutenção preventiva e corretiva para elevadores</t>
  </si>
  <si>
    <t>lavagem e desinfecção de roupas</t>
  </si>
  <si>
    <t>Serviços Laboratoriais</t>
  </si>
  <si>
    <t>Despesas com Reprodução de Documentos</t>
  </si>
  <si>
    <t>Despesas com Coleta de Lixo Hospitalar</t>
  </si>
  <si>
    <t>MARÇO</t>
  </si>
  <si>
    <t>ABRIL</t>
  </si>
  <si>
    <t>MAIO</t>
  </si>
  <si>
    <t>JUNHO</t>
  </si>
  <si>
    <t>JULHO</t>
  </si>
  <si>
    <t>05.942.423/0001-44</t>
  </si>
  <si>
    <t>10.613.946/0001-87</t>
  </si>
  <si>
    <t>AGOSTO</t>
  </si>
  <si>
    <t>SETEMBRO</t>
  </si>
  <si>
    <t>OUTUBRO</t>
  </si>
  <si>
    <t>NOVEMBRO</t>
  </si>
  <si>
    <t>DEZEMBRO</t>
  </si>
  <si>
    <t>Serviços de Coleta de Lixo Hospitalar</t>
  </si>
  <si>
    <t>CS  Soluções em Software de Gestão Empresarial Ltda</t>
  </si>
  <si>
    <t>Software da Folha de pagamento</t>
  </si>
  <si>
    <t>Software do Ativo Imobilizado (Patrimonio)</t>
  </si>
  <si>
    <t>Fundação Mirim de Araçatuba</t>
  </si>
  <si>
    <t>Convênio (Trabalho de menor aprendiz)</t>
  </si>
  <si>
    <t>Tele-monitoramento de sistema de segurança</t>
  </si>
  <si>
    <t>Analises fisico quimicas e bacteriológicas.</t>
  </si>
  <si>
    <t>Serviços de dosimetria de radiação ionizante e concessão de 6 dosímetros</t>
  </si>
  <si>
    <t>Arri &amp; Santos Portaria e Limpeza Ltda ME</t>
  </si>
  <si>
    <t>Suporte e Monitoramento Mensal dos Servidores</t>
  </si>
  <si>
    <t>Ecotel Assistência e Serviços Ltda</t>
  </si>
  <si>
    <t>01.958.002/0001-50</t>
  </si>
  <si>
    <t>00.028.986/0001-08</t>
  </si>
  <si>
    <t>59.768.192/0001-23</t>
  </si>
  <si>
    <t>19.085.606/0001-03</t>
  </si>
  <si>
    <t>12.287.457/0001-08</t>
  </si>
  <si>
    <t>06.251.828/0001-07</t>
  </si>
  <si>
    <t>15.780.199/0001-95</t>
  </si>
  <si>
    <t>08.718.742/0001-69</t>
  </si>
  <si>
    <t>14.254.860/0001-66</t>
  </si>
  <si>
    <t>18.147.676/0001-78</t>
  </si>
  <si>
    <t>12.391.081/0001-87</t>
  </si>
  <si>
    <t>11.392.447/0001-70</t>
  </si>
  <si>
    <t>12.137.244/0001-08</t>
  </si>
  <si>
    <t>10.565.316/0001-84</t>
  </si>
  <si>
    <t>03.286.898/0001-02</t>
  </si>
  <si>
    <t>51.106.110/0001-73</t>
  </si>
  <si>
    <t>12.979.817/0001-32</t>
  </si>
  <si>
    <t>01.678.371/0001-90</t>
  </si>
  <si>
    <t>20.676.103/0001-83</t>
  </si>
  <si>
    <t>06.020.058/0001-83</t>
  </si>
  <si>
    <t>12.810.962/0001-95</t>
  </si>
  <si>
    <t>19.849.218/0001-43</t>
  </si>
  <si>
    <t>02.001.383/0001-48</t>
  </si>
  <si>
    <t>13.386.317/0001-50</t>
  </si>
  <si>
    <t>13.500.316/0001-94</t>
  </si>
  <si>
    <t>18.331.474/0001-81</t>
  </si>
  <si>
    <t>08.764.594/0001-19</t>
  </si>
  <si>
    <t>11.007.451/0001-77</t>
  </si>
  <si>
    <t>12.160.809/0001-60</t>
  </si>
  <si>
    <t xml:space="preserve">Consultas de Cardiologia, Ecocardiograma, Eletrocardiograma, Ergometria, Holter e Mapa </t>
  </si>
  <si>
    <t>Ultrassonografias</t>
  </si>
  <si>
    <t>Anestesiologia</t>
  </si>
  <si>
    <t>Consultas de Alergologia</t>
  </si>
  <si>
    <t>Consultas de Ortopedia</t>
  </si>
  <si>
    <t>Consultas de Cirurgia Vascular e Tratamento Cirúrgico de Varizes (Esclero)</t>
  </si>
  <si>
    <t>Consulta de Ortopedia</t>
  </si>
  <si>
    <t>Consultas de Urologia</t>
  </si>
  <si>
    <t>Consultas de Cirurgia Vascular e Exames de Doppler, Tratamento Cirúrgico de Varizes (Escleroterapia)</t>
  </si>
  <si>
    <t>Radiologia e Diagnósticos por Imagem (Radiologia Geral e Especializada, Mamografia e Densitometria Óssea); Supervisão Médica (Prescrição de Meio de Contraste)­ para Ressonância Magnética,</t>
  </si>
  <si>
    <t>Consultas de Dermatologia, Pequena Cirurgia</t>
  </si>
  <si>
    <t>Consultas de Neurologia Infantil e Exames de Eletroencefalograma</t>
  </si>
  <si>
    <t>Anatomopatologia e Citopatologia</t>
  </si>
  <si>
    <t>Consultas de Endocrinologia</t>
  </si>
  <si>
    <t>Cirurgia Geral (Avaliação de Pequenas Cirurgias), Cirurgia Plástica, Pequena Cirurgia</t>
  </si>
  <si>
    <t xml:space="preserve">Consultas de Cardiologia, Ecocardiograma, Eletrocardiograma, Ergometria, Holter e Mapa e Oftalmologia, Exame de Retinografia </t>
  </si>
  <si>
    <t>Consultas de Endocrinologia e Endocrinologia Infantil</t>
  </si>
  <si>
    <t>Avaliação de Pequena Cirurgia- Síndrome de Túnel do Carpo e Cirurgia de Síndrome de Túnel do Carpo</t>
  </si>
  <si>
    <t>Consulta de Pneumologia e Exames de Espirometria</t>
  </si>
  <si>
    <t>Consultas de Cirurgia Vascular</t>
  </si>
  <si>
    <t>Consultas dee Gastroclinica, Hepatologia, Endoscopia Digestiva Alta e Colonocospia</t>
  </si>
  <si>
    <t>Consultas de Hematologia</t>
  </si>
  <si>
    <t>Revisão de Contas de Telefônia Fixa e Celular</t>
  </si>
  <si>
    <t>Taxa Mensal Suporte Técnico em Internet</t>
  </si>
  <si>
    <t>Hidroquimica Lab. Serv. De Controle de Qual. Aguas Ltda</t>
  </si>
  <si>
    <t>Vigência do Contrato</t>
  </si>
  <si>
    <t>47.746.532/0001-36</t>
  </si>
  <si>
    <t>10.859.989/0001-47</t>
  </si>
  <si>
    <t>21.035.341/0001-72</t>
  </si>
  <si>
    <t>20.861.526/0001-73</t>
  </si>
  <si>
    <t>12.350.126/0001-75</t>
  </si>
  <si>
    <t>17.259.872/0001-71</t>
  </si>
  <si>
    <t>17.463.952/0001-44</t>
  </si>
  <si>
    <t>25.462.640/0001-44</t>
  </si>
  <si>
    <t>Software da Programa de Audiometria</t>
  </si>
  <si>
    <t>Winaudio Desenvolvimento de Programas Ltda - ME</t>
  </si>
  <si>
    <t>24.623.190/0001-61</t>
  </si>
  <si>
    <t>21.318.188/0001-90</t>
  </si>
  <si>
    <t>03.869.620/0001-50</t>
  </si>
  <si>
    <t>10.883.685/0001-15</t>
  </si>
  <si>
    <t>21.111.049/0001-91</t>
  </si>
  <si>
    <t>Exame de Eletroneuromiografia</t>
  </si>
  <si>
    <t>Consulta de Reumatologia</t>
  </si>
  <si>
    <t>Consulta de Endocrinologia</t>
  </si>
  <si>
    <t>Consulta de Urologia</t>
  </si>
  <si>
    <t>Consulta de Reumatolgia</t>
  </si>
  <si>
    <t>Consulta de Alergologia</t>
  </si>
  <si>
    <t>Controle de Infecção Ambulatorial</t>
  </si>
  <si>
    <t>Consulta de Dermatologia</t>
  </si>
  <si>
    <t>Unilab Laboratório de Analises Clinicas de Lins</t>
  </si>
  <si>
    <t>18.633.200/0001-47</t>
  </si>
  <si>
    <t>Pendências</t>
  </si>
  <si>
    <t>Nada Consta</t>
  </si>
  <si>
    <t>Soft Line Soluções em Sistemas Contábeis Ltda EPP</t>
  </si>
  <si>
    <t>15.044.976/0001-33</t>
  </si>
  <si>
    <t xml:space="preserve">Blueit Serviços Profissionais Tecnologia Informação Ltda </t>
  </si>
  <si>
    <t>27.663.114/0001-78</t>
  </si>
  <si>
    <t>26.824.364/0001-80</t>
  </si>
  <si>
    <t>26.848.238/0001-65</t>
  </si>
  <si>
    <t>09.661.614/0001-99</t>
  </si>
  <si>
    <t>Serviço de digitalização de Prontuários Pacientes</t>
  </si>
  <si>
    <t>24.461.229/0001-91</t>
  </si>
  <si>
    <t>50.429.810/0001-36</t>
  </si>
  <si>
    <t>Sapra Landauer Serv. de Assessoria e Prot. Radiologica</t>
  </si>
  <si>
    <t>O.M.I. Comércio e Manutenção de Equipamentos de Informátiva Ltda ME</t>
  </si>
  <si>
    <t>08.517.361/0001-11</t>
  </si>
  <si>
    <t>Consulta de Infecctologia</t>
  </si>
  <si>
    <t>Clinica Sabauna Ltda ME</t>
  </si>
  <si>
    <t>11.502.668/0001-53</t>
  </si>
  <si>
    <t>Consulta Ginecologia e USG</t>
  </si>
  <si>
    <t>Consulta de Otorrinolaringologia</t>
  </si>
  <si>
    <t>18.358.228/0001-13</t>
  </si>
  <si>
    <t>Status do</t>
  </si>
  <si>
    <t>Contrato</t>
  </si>
  <si>
    <t>Ativo</t>
  </si>
  <si>
    <t>Tipo</t>
  </si>
  <si>
    <t>Prestação de Serviço</t>
  </si>
  <si>
    <t>Aprendizagem</t>
  </si>
  <si>
    <t>09.280.138/0001-66</t>
  </si>
  <si>
    <t>Consultas de Cardiologia e Pneumologia</t>
  </si>
  <si>
    <t>29.483.426/0001-25</t>
  </si>
  <si>
    <t>Consultas de Otorrinolaringologia</t>
  </si>
  <si>
    <t>Consultas de Otorrinolaringologia, Audiometria Impedanciometria, Nasolaringofibroscopia e Otoneurologia</t>
  </si>
  <si>
    <t>Consulta de Oftalmologia, Tonometria, Campimetria, Mapeamento de Retina, Ultrassom Ocular, Cirurgia Oftalmológica</t>
  </si>
  <si>
    <t>13.927.859/0001-92</t>
  </si>
  <si>
    <t>Consultas de Gastroclinica e Cirurgia Geral</t>
  </si>
  <si>
    <t>59.569.488/0001-54</t>
  </si>
  <si>
    <t>Consultas Médicas - prescrição de contrastes para Ressonância</t>
  </si>
  <si>
    <t>29.930.604/0001-19</t>
  </si>
  <si>
    <t>19.953.839/0001-72</t>
  </si>
  <si>
    <t>29.833.718/0001-40</t>
  </si>
  <si>
    <t>04.828.940/0001-24</t>
  </si>
  <si>
    <t>04.412.794/0001-51</t>
  </si>
  <si>
    <t>Ultrassonografia</t>
  </si>
  <si>
    <t>29.844.622/0001-88</t>
  </si>
  <si>
    <t>19.292.190/0001-96</t>
  </si>
  <si>
    <t>30.121.617/0001-26</t>
  </si>
  <si>
    <t>Otniel Alves Rodrigues Mata ME</t>
  </si>
  <si>
    <t>21.925.019/0001-19</t>
  </si>
  <si>
    <t>Instalação e Implantação com locação de Software destinado a envio de alerta SMS para pacientes OFSYS SMS WEB</t>
  </si>
  <si>
    <t>30.518.595/0001-32</t>
  </si>
  <si>
    <t>Promed Santa Angela Comércio e Remoções Ltda</t>
  </si>
  <si>
    <t>67.407.882/0001-85</t>
  </si>
  <si>
    <t>29.582.037/0001-57</t>
  </si>
  <si>
    <t xml:space="preserve">Software destinado Gestão Ambulatorial - Salutem versão WEB </t>
  </si>
  <si>
    <t>Salutem Desenvolvimento e Consultoria Ltda</t>
  </si>
  <si>
    <t>30.886.472/0001-54</t>
  </si>
  <si>
    <t>30.886.563/0001-90</t>
  </si>
  <si>
    <t>Consultas de Dermatologia</t>
  </si>
  <si>
    <t>Stratolav Lavanderia Ltda ME</t>
  </si>
  <si>
    <t>CAM Birigui Alarmes e Sistemas Ltda</t>
  </si>
  <si>
    <t>49.315.906/0001-94</t>
  </si>
  <si>
    <t>Rádio Clube de Araçatuba Ltda</t>
  </si>
  <si>
    <t>02.333.058/0001-82</t>
  </si>
  <si>
    <t>Sistema Regional de Comunicação Andradina Ltda ME</t>
  </si>
  <si>
    <t>Prestação de Serviços de Publicidade</t>
  </si>
  <si>
    <t>Consulta de Neurologia e Neurologia Pediátrica</t>
  </si>
  <si>
    <t>A C Maldonado Semeghini</t>
  </si>
  <si>
    <t>Alergomell Serviços Médicos Ltda</t>
  </si>
  <si>
    <t>Baptista &amp; Pelliccioni Ortopedia Ltda</t>
  </si>
  <si>
    <t>CEMO - Centro Médico Birigui S/S LTDA</t>
  </si>
  <si>
    <t>Centro de Especialidades Clínica Villela S/C Ltda</t>
  </si>
  <si>
    <t>Wolney Gois Barreto</t>
  </si>
  <si>
    <t>V.M.S.G. Serviços Médicos Ltda EPP</t>
  </si>
  <si>
    <t>V V Serviços Médicos Ltda</t>
  </si>
  <si>
    <t>Uromed Serviços Médicos Eireli ME</t>
  </si>
  <si>
    <t>Patrícia Uchoa Bares</t>
  </si>
  <si>
    <t>Osterlaine Henrique Alves</t>
  </si>
  <si>
    <t>13.001.972/0001-42</t>
  </si>
  <si>
    <t>nada Consta</t>
  </si>
  <si>
    <t>Serviços com Propaganda e Publicidade</t>
  </si>
  <si>
    <t>Noronha &amp; Noronha Comércio de Gases Ltda EPP</t>
  </si>
  <si>
    <t>Fornecimento de Gases Medicinais</t>
  </si>
  <si>
    <t>Ensite Brasil Telecomunicações Ltda</t>
  </si>
  <si>
    <t>07.729.336/0001-39</t>
  </si>
  <si>
    <t>Serviços de Conexão a Internet e serviços de comunicação Multimidia</t>
  </si>
  <si>
    <t>29.230.701/0001-07</t>
  </si>
  <si>
    <t>01/12/2018 à 30/11/2019 reajustado de acordo com o Salário Mínimo</t>
  </si>
  <si>
    <t xml:space="preserve">Tomiyama Serviços Médicos Eireli </t>
  </si>
  <si>
    <t>Antonio Prestação de Serviços Médicos Eireli</t>
  </si>
  <si>
    <t>Campos Reis Serviços Médicos Ltda</t>
  </si>
  <si>
    <t>Reis Serviços Médicos e Ginecologista</t>
  </si>
  <si>
    <t xml:space="preserve">M M Giampietro Eireli </t>
  </si>
  <si>
    <t>Salutem Soluções Tecnológicas Ltda</t>
  </si>
  <si>
    <t>24.692.918/0001-07</t>
  </si>
  <si>
    <t>32.449.443/0001-50</t>
  </si>
  <si>
    <t>Consultas de Obstetrícia</t>
  </si>
  <si>
    <t>Reumasto Clínica Médica Ltda</t>
  </si>
  <si>
    <t>Rogério N C R Serviços Ltda - ME</t>
  </si>
  <si>
    <t>Marson Imagem Ltda</t>
  </si>
  <si>
    <t>31.067.870/0001-01</t>
  </si>
  <si>
    <t>Consultas de Mastologia</t>
  </si>
  <si>
    <t>31.202.330/0001-93</t>
  </si>
  <si>
    <t>Consultas de Ginecologia</t>
  </si>
  <si>
    <t>30.077.727/0001-38</t>
  </si>
  <si>
    <t>Clínica de Ortopedia e Medicina Espec. Dr. Pires Ltda ME</t>
  </si>
  <si>
    <t>Clínica de Especialidades Médica Meneses Melo Ltda</t>
  </si>
  <si>
    <t>Clínica Dermatológica e Cirúrgica Della Coletta Ltda</t>
  </si>
  <si>
    <t>Clínica de Doenças do Coração P Serv. Atend Cardiolog Ltda</t>
  </si>
  <si>
    <t>Clínica Médica Meneses Melo Ltda</t>
  </si>
  <si>
    <t>Clínica Médica Pazian Feliciano Ltda</t>
  </si>
  <si>
    <t>Clínica Médica Pupio Ltda ME</t>
  </si>
  <si>
    <t>Clínica Médica Rezende Ltda</t>
  </si>
  <si>
    <t>Clínica Ortopédica Santana Ltda</t>
  </si>
  <si>
    <t>Clínica Santos Dumont Prestação de Serviços Médicos Ltda</t>
  </si>
  <si>
    <t>Covello, Loli &amp; Pereira Clínica Médica Ltda</t>
  </si>
  <si>
    <t>Uroclínica Serviços Médicos Ltda - ME</t>
  </si>
  <si>
    <t>Suhara &amp; Bortoloti Ltda</t>
  </si>
  <si>
    <t>Serra &amp; Serra Serviços Médicos Ltda</t>
  </si>
  <si>
    <t>Serviço de Anestesiologia de Araçatuba</t>
  </si>
  <si>
    <t>RDF Assistência Médica Hospitalar Ltda</t>
  </si>
  <si>
    <t>Pró Saúde Senra e cola Médicos Associados S/S</t>
  </si>
  <si>
    <t>Neri Shinsato &amp; Cia ltda</t>
  </si>
  <si>
    <t>Medcorpus Clínica Médica Ltda</t>
  </si>
  <si>
    <t>CVP Cirurgia Vascular Periférica Serviços Médicos Ltda</t>
  </si>
  <si>
    <t>DCS Diagnóstico por Imagem Ltda</t>
  </si>
  <si>
    <t>De Angelo Serviços Médicos Ltda</t>
  </si>
  <si>
    <t>Dermclin Clínica Dermatológica Ltda</t>
  </si>
  <si>
    <t>E V Serviços de Diagnósticos Eireli</t>
  </si>
  <si>
    <t>Eliza Garcia ME</t>
  </si>
  <si>
    <t>Everton Freitas Leivas</t>
  </si>
  <si>
    <t>G &amp; A Yamanari Ltda</t>
  </si>
  <si>
    <t>Godoy Laurenti &amp; Robles Serviços Médicos</t>
  </si>
  <si>
    <t>Henrique Augusto Cantareira Sabino</t>
  </si>
  <si>
    <t>Hostalácio Gestão em Saúde Ltda</t>
  </si>
  <si>
    <t>Instituto de Cardiologia de Araçatuba Ltda EPP</t>
  </si>
  <si>
    <t>Instituto de Patologia de Araçatuba S/S Ltda</t>
  </si>
  <si>
    <t>J. V. Morais Serviços Médicos Eireli</t>
  </si>
  <si>
    <t>JC &amp; Prado Fernandópolis Ltda</t>
  </si>
  <si>
    <t>José Aparecido da Silva Clínica Médica</t>
  </si>
  <si>
    <t>Kamimura &amp; Takata Serviços Oftalmológicos Ltda ME</t>
  </si>
  <si>
    <t>Laguna Endocrinologia e Cardiologia Médica Ltda EPP</t>
  </si>
  <si>
    <t>Liberatori Gimael Prestação de Serviços Médicos Ltda</t>
  </si>
  <si>
    <t>LK - Consultório de Cardiologia e Pneumologia Ltda</t>
  </si>
  <si>
    <t>Guizzo Controle de Vetores e Pragas Eireli - EPP</t>
  </si>
  <si>
    <t>22.688.290/0001-70</t>
  </si>
  <si>
    <t>Serviço de Controle de Vetores, pragas, limpeza e Higienização de Caixas d'água</t>
  </si>
  <si>
    <t>Assis Serviços Médicos LTDA</t>
  </si>
  <si>
    <t>15.255.371/000191</t>
  </si>
  <si>
    <t>Consulta de Cirurgia Vascular</t>
  </si>
  <si>
    <t>Nogueira &amp; Sousa Serviços Médicos LTDA</t>
  </si>
  <si>
    <t>30.173.910/0001-37</t>
  </si>
  <si>
    <t>Eliziário Barbosa de Siqueira Junior</t>
  </si>
  <si>
    <t>Oxetil Indústria e Comércio de Produtos Esterilizados Eireli EPP</t>
  </si>
  <si>
    <t>74.554.189/0001-09</t>
  </si>
  <si>
    <t>Caetano Oftalmologia Ltda</t>
  </si>
  <si>
    <t>32.396.642/0001-48</t>
  </si>
  <si>
    <t>Consultas de Oftalmologia</t>
  </si>
  <si>
    <t>Terneira &amp; Vicentini Serviços Médicos Ltda</t>
  </si>
  <si>
    <t>12.442.616/0001-00</t>
  </si>
  <si>
    <t>Clínica Toledo Medicina Eireli</t>
  </si>
  <si>
    <t>33.853.733/0001-28</t>
  </si>
  <si>
    <t>Consultas de Reumatologia</t>
  </si>
  <si>
    <t>Gatsu Serviços Médicos Eireli</t>
  </si>
  <si>
    <t>33.431.410/0001-46</t>
  </si>
  <si>
    <t>Consultas de Nefrologia</t>
  </si>
  <si>
    <t>09.719.842/0001-72</t>
  </si>
  <si>
    <t>Consulta de Ginecologia</t>
  </si>
  <si>
    <t>F Soluçoes e Serviços de Tecnologia Ltda</t>
  </si>
  <si>
    <t>Maria Aparecida de Araujo Dias Confecções</t>
  </si>
  <si>
    <t>04.358.620/0001-58</t>
  </si>
  <si>
    <t>Serviço de Confecção de Uniformes</t>
  </si>
  <si>
    <t>Monte Azul Engenharia Ambiental Ltda</t>
  </si>
  <si>
    <t>Clínica Proctoped Ltda</t>
  </si>
  <si>
    <t>Lopes &amp; Lopes Clinica Oftalmologica Ltda</t>
  </si>
  <si>
    <t>Clínica Mitidieri Ata Ltda</t>
  </si>
  <si>
    <t>34.524.259/0001-53</t>
  </si>
  <si>
    <t>01/12/2018 à 30/11/2020</t>
  </si>
  <si>
    <t>32.764.646/0001-31</t>
  </si>
  <si>
    <t>Exame de Colonoscopia</t>
  </si>
  <si>
    <t>33.942.387/0001-54</t>
  </si>
  <si>
    <t>Nascimento e Jerônimo Ltda</t>
  </si>
  <si>
    <t>Fornecimento Gás Medicinal</t>
  </si>
  <si>
    <t>07.086.661/0001-20</t>
  </si>
  <si>
    <t xml:space="preserve">Data de Assinatura </t>
  </si>
  <si>
    <t>07.474.132/0001-32</t>
  </si>
  <si>
    <t>Prestação de Serviços na Locação de Veículos</t>
  </si>
  <si>
    <t>Condições de Pagamento</t>
  </si>
  <si>
    <t>Mensal - até o dia 10 do mês seguinte</t>
  </si>
  <si>
    <t>Mensal - até o dia 5 do mês seguinte</t>
  </si>
  <si>
    <t>Pagamento Único Anual</t>
  </si>
  <si>
    <t>Mensal - até o dia 10 do mês corrente</t>
  </si>
  <si>
    <t>Mensal - até o dia 15 do mês corrente</t>
  </si>
  <si>
    <t>Mensal - até o dia 31 do mês corrente</t>
  </si>
  <si>
    <t>Mensal - até o dia 5 do mês corrente</t>
  </si>
  <si>
    <t>30 dias após a emissão da N ota Fiscal</t>
  </si>
  <si>
    <t>03 Parcelas Anuais</t>
  </si>
  <si>
    <t>Mensal - até o dia 25 do mês seguinte</t>
  </si>
  <si>
    <t>Mensal - até o dia 20 do mês seguinte</t>
  </si>
  <si>
    <t>Prestação de Serviços de Esterilização de Materiais</t>
  </si>
  <si>
    <t>Fábio Antonio Obici</t>
  </si>
  <si>
    <t>Diretor Presidente</t>
  </si>
  <si>
    <t>Edson Ricardo Eidi Takagi</t>
  </si>
  <si>
    <t>35.740.343/0001-77</t>
  </si>
  <si>
    <t>Lilian Carla Rabelo Martins Clinica Médica</t>
  </si>
  <si>
    <t>25.209.444/000162</t>
  </si>
  <si>
    <t>Consulta de Cardiologia</t>
  </si>
  <si>
    <t>Marcela Pereira Martinez</t>
  </si>
  <si>
    <t>31.151.739/0001-28</t>
  </si>
  <si>
    <t>Consultas de Mastologia e Obstetrícia</t>
  </si>
  <si>
    <t>Nascimento Serviços Médicos</t>
  </si>
  <si>
    <t>35.328.641/0001-54</t>
  </si>
  <si>
    <t>Natalino Pereira Brito</t>
  </si>
  <si>
    <t>30.778.650/0001-23</t>
  </si>
  <si>
    <t>34.251.681/0001-82</t>
  </si>
  <si>
    <t>Planejamento e organização de Instituições de Saúde</t>
  </si>
  <si>
    <t>27.619.442/0001-77</t>
  </si>
  <si>
    <t>Encerrado</t>
  </si>
  <si>
    <t>Previato Clínica Oftalmológica Ltda</t>
  </si>
  <si>
    <t>Fugihara Arantes Serviços Médicos Ltda</t>
  </si>
  <si>
    <t>Clínica Aoki Eireli</t>
  </si>
  <si>
    <t>V.M.S.G. Clínica Médica Ltda</t>
  </si>
  <si>
    <t>Gabriela Zani Lopes &amp; Cia SS Ltda</t>
  </si>
  <si>
    <t>Cibelle Sabrina Vieira da Mata</t>
  </si>
  <si>
    <t>09.652.990/0001-17</t>
  </si>
  <si>
    <t>33.431.355/0001-94</t>
  </si>
  <si>
    <t>36.083.457/0001-54</t>
  </si>
  <si>
    <t>16.784.601/0001-72</t>
  </si>
  <si>
    <t>36.434.545/0001-53</t>
  </si>
  <si>
    <t>36.163.263/0001-69</t>
  </si>
  <si>
    <t>Prestadores de Serviços e Valores pagos em 2020</t>
  </si>
  <si>
    <t>Consultas de Obstetricia</t>
  </si>
  <si>
    <t>Consulta de Oftalmologia</t>
  </si>
  <si>
    <t>Desenvolvimento e Manutenção projeto Matriciamento</t>
  </si>
  <si>
    <t>Serviços Especializados de Endoscopia Digestiva Alta</t>
  </si>
  <si>
    <t>San Corpus Serviços Médicos Ltda</t>
  </si>
  <si>
    <t>Mensal - 03 parcelas a partir do mês o mês corrente</t>
  </si>
  <si>
    <t>02.728.036/0001-11</t>
  </si>
  <si>
    <t>Master Prime Auditoria e Assessoria Contábil Eireli</t>
  </si>
  <si>
    <t>Software destinado Gestão Ambulatorial</t>
  </si>
  <si>
    <t>Planisa Tech Consultoria e Desenvolvimento Ltda</t>
  </si>
  <si>
    <t>27.220.921/0001-16</t>
  </si>
  <si>
    <t>Mensal - até o dia 25 do mês corrente</t>
  </si>
  <si>
    <t>Technolaser Cartuchos Ltda</t>
  </si>
  <si>
    <t>05.978.864/0001-04</t>
  </si>
  <si>
    <t>Prestação de Serviços na Locação de Equipamentos Médicos</t>
  </si>
  <si>
    <t>uniformes</t>
  </si>
  <si>
    <t>Fornecimento Nitrogênio Líquido</t>
  </si>
  <si>
    <t>Nitroata Representações Eireli - ME</t>
  </si>
  <si>
    <t>Nucleo Fiscal Contabilidade e Consultoria Tributária Ltda</t>
  </si>
  <si>
    <t>Dermecc Dermatologia Ltda</t>
  </si>
  <si>
    <t>Miyamoto Serviços Médicos S/S</t>
  </si>
  <si>
    <t>Clinica Vitale Ltda</t>
  </si>
  <si>
    <t xml:space="preserve">Gaiotto Ferreira Serviços Médicos Eiteli </t>
  </si>
  <si>
    <t>Uromed Serviços Médicos Ltda</t>
  </si>
  <si>
    <t>R.R. Ferreira Contabilidade Eireli EPP</t>
  </si>
  <si>
    <t>14.977.378/0001-54</t>
  </si>
  <si>
    <t>Serviços de Assessoria Contábil</t>
  </si>
  <si>
    <t>Avezum Serviços Médicos Ltda</t>
  </si>
  <si>
    <t>Syspec Informatica Eireli</t>
  </si>
  <si>
    <t>67.220.871/0001-91</t>
  </si>
  <si>
    <t>Arruda &amp; Granato serviços Médicos SS</t>
  </si>
  <si>
    <t>27.933.945/0001-12</t>
  </si>
  <si>
    <t>Consultas Médicas de Neurologia Pediátrica</t>
  </si>
  <si>
    <t>12.998.527/0001-36</t>
  </si>
  <si>
    <t xml:space="preserve">Consulta de Pneumologia </t>
  </si>
  <si>
    <t>28.037.054/0001-40</t>
  </si>
  <si>
    <t>36.116.524/0001-90</t>
  </si>
  <si>
    <t>encerrado</t>
  </si>
  <si>
    <t>Auditoria Contábil Diagnóstico</t>
  </si>
  <si>
    <t>Serviços de Processamento de Dados</t>
  </si>
  <si>
    <t>Serviços de Manutenção e Reparos</t>
  </si>
  <si>
    <t>Serviços Médicos</t>
  </si>
  <si>
    <t>Serviços de Laboratório</t>
  </si>
  <si>
    <t>Serviços de Auditoria</t>
  </si>
  <si>
    <t>Serviços de Segurança</t>
  </si>
  <si>
    <t>Serviços Gerais</t>
  </si>
  <si>
    <t>Serviços de Radiologia</t>
  </si>
  <si>
    <t>Serviços de Lavanderia</t>
  </si>
  <si>
    <t>Serviços de Esterilização</t>
  </si>
  <si>
    <t>Serviços de Consultoria</t>
  </si>
  <si>
    <t>Reprodução de Documentos</t>
  </si>
  <si>
    <t xml:space="preserve">Locação </t>
  </si>
  <si>
    <t>23.212.144/0001-07</t>
  </si>
  <si>
    <t>Fornecimento de Nitrogênio Líquido</t>
  </si>
  <si>
    <t>Serviços de Plataforma Kpih, gestão de Custos Hospitalares</t>
  </si>
  <si>
    <t>13.797.961/0001-10</t>
  </si>
  <si>
    <t>Pagamento único</t>
  </si>
  <si>
    <t>Clínica Rio Serviços Médicos e Odontológicos Ltda</t>
  </si>
  <si>
    <t>26.930.984/0001-01</t>
  </si>
  <si>
    <t>Consultas de Cardiologia</t>
  </si>
  <si>
    <t>ACS Auditoria e Consultoria Contabil Ltda</t>
  </si>
  <si>
    <t>Bionexo do Brasil soluções Digitais Eireli</t>
  </si>
  <si>
    <t>04.069.709/0001-02</t>
  </si>
  <si>
    <t>Software de Licenciamento de Uso das Soluções Digitais Bionexo</t>
  </si>
  <si>
    <t>Mensal - até o dia 20 do mês corrente</t>
  </si>
  <si>
    <t>Mensal - até o dia 30 do mês corrente</t>
  </si>
  <si>
    <t>Serviços de Matriciamento</t>
  </si>
  <si>
    <t>Serviços de CCIH</t>
  </si>
  <si>
    <t>Lucimar B. de Moraes</t>
  </si>
  <si>
    <t>38.266.212/0001-98</t>
  </si>
  <si>
    <t>Kosaki &amp; Muniz Clínica Médica Ltda</t>
  </si>
  <si>
    <t>Monize A G Nascimento</t>
  </si>
  <si>
    <t>Carlos Weverton Ortega Sanches Clinica Médica Ltda</t>
  </si>
  <si>
    <t>27.550.255/0001-84</t>
  </si>
  <si>
    <t>24.034.256/0001-88</t>
  </si>
  <si>
    <t>Vania Milena Basso da Silva Eireli</t>
  </si>
  <si>
    <t>32.463.042/0001-55</t>
  </si>
  <si>
    <t>RESCINDIDO</t>
  </si>
  <si>
    <t>Prestadores de Serviços e Valores pagos em 2021</t>
  </si>
  <si>
    <t>Localmed Diagnosticos Médicos Ltda</t>
  </si>
  <si>
    <t>Confecção de Uniformes</t>
  </si>
  <si>
    <t>32.302.720/0001-06</t>
  </si>
  <si>
    <t xml:space="preserve">Consulta de Ginecologia e Obstetricia </t>
  </si>
  <si>
    <t>11.510.215/0001-79</t>
  </si>
  <si>
    <t>FRANCHINI SERVIÇOS MEDICOS LTDA</t>
  </si>
  <si>
    <t>37.455.879/0001-76</t>
  </si>
  <si>
    <t>Consulta de obstetrícia</t>
  </si>
  <si>
    <t>Fabricio Rocha Gonçalves</t>
  </si>
  <si>
    <t>13.396.724/0001-48</t>
  </si>
  <si>
    <t>Lima e Perin Confecções Ltda</t>
  </si>
  <si>
    <t>32.374.111/0001-54</t>
  </si>
  <si>
    <t>36.847.876/0001-15</t>
  </si>
  <si>
    <t>13.797.610/0001-10</t>
  </si>
  <si>
    <t>Serviços de Elaboração do arquivo Digital ECD - Ano Calendário 2020</t>
  </si>
  <si>
    <t>Núcleo Fiscal Contabilidade e Consultoria Tributária Ltda</t>
  </si>
  <si>
    <t>Martins &amp; Figueiredo Serviços Médicos Ltd</t>
  </si>
  <si>
    <t>11.777.908/0001-22</t>
  </si>
  <si>
    <t>Serviços Prestados na Gerência Médica</t>
  </si>
  <si>
    <t>37.230.773/0001-74</t>
  </si>
  <si>
    <t>SEAD Prestadora de Serviços Médicos Ltda</t>
  </si>
  <si>
    <t>Softmatic Sistemas Automaticos de Informatica Ltda</t>
  </si>
  <si>
    <t>CAF Atendimento Médico</t>
  </si>
  <si>
    <t>Neuroencefalo Serviços Médicos Ltda</t>
  </si>
  <si>
    <t>58.119.371/0001-77</t>
  </si>
  <si>
    <t>29.333.471/0001-01</t>
  </si>
  <si>
    <t>20.383.619/0001-30</t>
  </si>
  <si>
    <t>Consultas de Neurologia</t>
  </si>
  <si>
    <t>Pagamento Único</t>
  </si>
  <si>
    <t>Cesta Básica / Cartão Alimentação</t>
  </si>
  <si>
    <t>30.798.783/0001-61</t>
  </si>
  <si>
    <t>Serviços Prestados de Emissão e Gestão dos Cartões BEM Refeição e Alimentação</t>
  </si>
  <si>
    <t>Ben Benefícios e Serviços S/A</t>
  </si>
  <si>
    <t>Cabrera Assitência Medical Laboratorial Ltda</t>
  </si>
  <si>
    <t>Vilela Gaiotto Serviços Médicos Ltda</t>
  </si>
  <si>
    <t>24.603.373/0001-15</t>
  </si>
  <si>
    <t>43.962.210/0001-73</t>
  </si>
  <si>
    <t>01.114.084/0001-57</t>
  </si>
  <si>
    <t>Agecom Telecomunicações e Eletr Ltda</t>
  </si>
  <si>
    <t>Sistema de Telefonia IPBX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</si>
</sst>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  <numFmt numFmtId="179" formatCode="0.0"/>
    <numFmt numFmtId="180" formatCode="_(* #,##0.000_);_(* \(#,##0.0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14" fontId="23" fillId="0" borderId="12" xfId="0" applyNumberFormat="1" applyFont="1" applyFill="1" applyBorder="1" applyAlignment="1">
      <alignment horizontal="center" vertical="center" wrapText="1"/>
    </xf>
    <xf numFmtId="171" fontId="23" fillId="0" borderId="12" xfId="0" applyNumberFormat="1" applyFont="1" applyFill="1" applyBorder="1" applyAlignment="1">
      <alignment horizontal="center" vertical="center"/>
    </xf>
    <xf numFmtId="171" fontId="24" fillId="0" borderId="12" xfId="0" applyNumberFormat="1" applyFont="1" applyFill="1" applyBorder="1" applyAlignment="1">
      <alignment vertical="center"/>
    </xf>
    <xf numFmtId="171" fontId="24" fillId="0" borderId="12" xfId="0" applyNumberFormat="1" applyFont="1" applyFill="1" applyBorder="1" applyAlignment="1">
      <alignment vertical="center" wrapText="1"/>
    </xf>
    <xf numFmtId="171" fontId="23" fillId="0" borderId="12" xfId="0" applyNumberFormat="1" applyFont="1" applyFill="1" applyBorder="1" applyAlignment="1">
      <alignment vertical="center" wrapText="1"/>
    </xf>
    <xf numFmtId="171" fontId="24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2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1" fontId="24" fillId="0" borderId="13" xfId="0" applyNumberFormat="1" applyFont="1" applyFill="1" applyBorder="1" applyAlignment="1">
      <alignment horizontal="center" vertical="center"/>
    </xf>
    <xf numFmtId="171" fontId="24" fillId="0" borderId="13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1" fontId="23" fillId="0" borderId="12" xfId="0" applyNumberFormat="1" applyFont="1" applyFill="1" applyBorder="1" applyAlignment="1">
      <alignment horizontal="left" vertical="center" wrapText="1"/>
    </xf>
    <xf numFmtId="172" fontId="23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/>
    </xf>
    <xf numFmtId="14" fontId="23" fillId="0" borderId="12" xfId="0" applyNumberFormat="1" applyFont="1" applyFill="1" applyBorder="1" applyAlignment="1">
      <alignment horizontal="left" vertical="center" wrapText="1"/>
    </xf>
    <xf numFmtId="172" fontId="23" fillId="0" borderId="15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horizontal="center" vertical="center"/>
    </xf>
    <xf numFmtId="171" fontId="23" fillId="0" borderId="0" xfId="0" applyNumberFormat="1" applyFont="1" applyFill="1" applyAlignment="1">
      <alignment horizontal="center" vertical="center"/>
    </xf>
    <xf numFmtId="171" fontId="23" fillId="33" borderId="12" xfId="0" applyNumberFormat="1" applyFont="1" applyFill="1" applyBorder="1" applyAlignment="1">
      <alignment horizontal="center" vertical="center"/>
    </xf>
    <xf numFmtId="171" fontId="49" fillId="33" borderId="12" xfId="0" applyNumberFormat="1" applyFont="1" applyFill="1" applyBorder="1" applyAlignment="1" applyProtection="1">
      <alignment vertical="center"/>
      <protection locked="0"/>
    </xf>
    <xf numFmtId="172" fontId="50" fillId="34" borderId="12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 wrapText="1"/>
    </xf>
    <xf numFmtId="171" fontId="50" fillId="34" borderId="12" xfId="0" applyNumberFormat="1" applyFont="1" applyFill="1" applyBorder="1" applyAlignment="1">
      <alignment horizontal="center" vertical="center"/>
    </xf>
    <xf numFmtId="171" fontId="51" fillId="34" borderId="12" xfId="0" applyNumberFormat="1" applyFont="1" applyFill="1" applyBorder="1" applyAlignment="1">
      <alignment vertical="center"/>
    </xf>
    <xf numFmtId="171" fontId="51" fillId="34" borderId="12" xfId="0" applyNumberFormat="1" applyFont="1" applyFill="1" applyBorder="1" applyAlignment="1">
      <alignment vertical="center" wrapText="1"/>
    </xf>
    <xf numFmtId="171" fontId="50" fillId="34" borderId="12" xfId="0" applyNumberFormat="1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171" fontId="49" fillId="0" borderId="12" xfId="0" applyNumberFormat="1" applyFont="1" applyFill="1" applyBorder="1" applyAlignment="1" applyProtection="1">
      <alignment vertical="center"/>
      <protection locked="0"/>
    </xf>
    <xf numFmtId="171" fontId="50" fillId="34" borderId="12" xfId="0" applyNumberFormat="1" applyFont="1" applyFill="1" applyBorder="1" applyAlignment="1" applyProtection="1">
      <alignment vertical="center"/>
      <protection locked="0"/>
    </xf>
    <xf numFmtId="171" fontId="24" fillId="0" borderId="16" xfId="0" applyNumberFormat="1" applyFont="1" applyFill="1" applyBorder="1" applyAlignment="1">
      <alignment horizontal="center" vertical="center"/>
    </xf>
    <xf numFmtId="171" fontId="24" fillId="0" borderId="16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171" fontId="51" fillId="0" borderId="12" xfId="0" applyNumberFormat="1" applyFont="1" applyFill="1" applyBorder="1" applyAlignment="1">
      <alignment vertical="center"/>
    </xf>
    <xf numFmtId="171" fontId="51" fillId="0" borderId="12" xfId="0" applyNumberFormat="1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71" fontId="24" fillId="33" borderId="12" xfId="0" applyNumberFormat="1" applyFont="1" applyFill="1" applyBorder="1" applyAlignment="1">
      <alignment horizontal="center" vertical="center"/>
    </xf>
    <xf numFmtId="171" fontId="24" fillId="0" borderId="12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171" fontId="23" fillId="0" borderId="12" xfId="0" applyNumberFormat="1" applyFont="1" applyFill="1" applyBorder="1" applyAlignment="1" applyProtection="1">
      <alignment vertical="center"/>
      <protection locked="0"/>
    </xf>
    <xf numFmtId="171" fontId="23" fillId="0" borderId="0" xfId="66" applyFont="1" applyFill="1" applyAlignment="1">
      <alignment vertical="center"/>
    </xf>
    <xf numFmtId="172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71" fontId="50" fillId="0" borderId="12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171" fontId="49" fillId="0" borderId="12" xfId="0" applyNumberFormat="1" applyFont="1" applyFill="1" applyBorder="1" applyAlignment="1">
      <alignment horizontal="center" vertical="center"/>
    </xf>
    <xf numFmtId="171" fontId="52" fillId="0" borderId="12" xfId="0" applyNumberFormat="1" applyFont="1" applyFill="1" applyBorder="1" applyAlignment="1">
      <alignment horizontal="center" vertical="center"/>
    </xf>
    <xf numFmtId="171" fontId="52" fillId="0" borderId="0" xfId="0" applyNumberFormat="1" applyFont="1" applyFill="1" applyBorder="1" applyAlignment="1">
      <alignment horizontal="center" vertical="center"/>
    </xf>
    <xf numFmtId="171" fontId="52" fillId="0" borderId="13" xfId="0" applyNumberFormat="1" applyFont="1" applyFill="1" applyBorder="1" applyAlignment="1">
      <alignment horizontal="center" vertical="center"/>
    </xf>
    <xf numFmtId="171" fontId="52" fillId="0" borderId="16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171" fontId="24" fillId="0" borderId="0" xfId="66" applyFont="1" applyFill="1" applyAlignment="1">
      <alignment vertical="center"/>
    </xf>
    <xf numFmtId="171" fontId="24" fillId="0" borderId="12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171" fontId="52" fillId="0" borderId="12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71" fontId="24" fillId="0" borderId="12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0" xfId="50" applyFont="1" applyFill="1" applyAlignment="1">
      <alignment horizontal="center" vertical="center"/>
      <protection/>
    </xf>
    <xf numFmtId="0" fontId="30" fillId="0" borderId="17" xfId="0" applyFont="1" applyFill="1" applyBorder="1" applyAlignment="1" quotePrefix="1">
      <alignment horizontal="center" vertical="center"/>
    </xf>
    <xf numFmtId="0" fontId="24" fillId="0" borderId="0" xfId="0" applyFont="1" applyFill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171" fontId="24" fillId="0" borderId="17" xfId="0" applyNumberFormat="1" applyFont="1" applyFill="1" applyBorder="1" applyAlignment="1">
      <alignment horizontal="center" vertical="center"/>
    </xf>
    <xf numFmtId="171" fontId="24" fillId="0" borderId="18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123825</xdr:rowOff>
    </xdr:from>
    <xdr:to>
      <xdr:col>5</xdr:col>
      <xdr:colOff>1247775</xdr:colOff>
      <xdr:row>5</xdr:row>
      <xdr:rowOff>142875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23825"/>
          <a:ext cx="1647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123825</xdr:rowOff>
    </xdr:from>
    <xdr:to>
      <xdr:col>5</xdr:col>
      <xdr:colOff>1409700</xdr:colOff>
      <xdr:row>5</xdr:row>
      <xdr:rowOff>142875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238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98"/>
  <sheetViews>
    <sheetView showGridLines="0" tabSelected="1" zoomScale="90" zoomScaleNormal="90" zoomScaleSheetLayoutView="70" workbookViewId="0" topLeftCell="A4">
      <pane ySplit="10" topLeftCell="A14" activePane="bottomLeft" state="frozen"/>
      <selection pane="topLeft" activeCell="A4" sqref="A4"/>
      <selection pane="bottomLeft" activeCell="A175" sqref="A175"/>
    </sheetView>
  </sheetViews>
  <sheetFormatPr defaultColWidth="27.57421875" defaultRowHeight="15"/>
  <cols>
    <col min="1" max="2" width="27.57421875" style="89" customWidth="1"/>
    <col min="3" max="3" width="27.57421875" style="4" customWidth="1"/>
    <col min="4" max="4" width="27.57421875" style="1" customWidth="1"/>
    <col min="5" max="5" width="22.140625" style="1" bestFit="1" customWidth="1"/>
    <col min="6" max="6" width="27.421875" style="2" customWidth="1"/>
    <col min="7" max="7" width="17.57421875" style="1" bestFit="1" customWidth="1"/>
    <col min="8" max="14" width="10.7109375" style="1" customWidth="1"/>
    <col min="15" max="15" width="10.7109375" style="83" customWidth="1"/>
    <col min="16" max="18" width="10.7109375" style="1" customWidth="1"/>
    <col min="19" max="19" width="11.00390625" style="1" customWidth="1"/>
    <col min="20" max="20" width="13.57421875" style="3" bestFit="1" customWidth="1"/>
    <col min="21" max="21" width="27.57421875" style="3" customWidth="1"/>
    <col min="22" max="22" width="27.57421875" style="1" customWidth="1"/>
    <col min="23" max="16384" width="27.57421875" style="2" customWidth="1"/>
  </cols>
  <sheetData>
    <row r="1" ht="12.75"/>
    <row r="2" spans="3:22" ht="12.75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88"/>
      <c r="V2" s="2"/>
    </row>
    <row r="3" ht="12.75"/>
    <row r="4" ht="12.75"/>
    <row r="5" ht="12.75"/>
    <row r="6" ht="12.75"/>
    <row r="8" spans="1:22" ht="12.75">
      <c r="A8" s="106" t="s">
        <v>428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10" spans="1:22" ht="12.75">
      <c r="A10" s="5" t="s">
        <v>141</v>
      </c>
      <c r="B10" s="103" t="s">
        <v>144</v>
      </c>
      <c r="C10" s="94" t="s">
        <v>6</v>
      </c>
      <c r="D10" s="104" t="s">
        <v>8</v>
      </c>
      <c r="E10" s="94" t="s">
        <v>303</v>
      </c>
      <c r="F10" s="94" t="s">
        <v>7</v>
      </c>
      <c r="G10" s="94" t="s">
        <v>94</v>
      </c>
      <c r="H10" s="99" t="s">
        <v>2</v>
      </c>
      <c r="I10" s="99" t="s">
        <v>1</v>
      </c>
      <c r="J10" s="99" t="s">
        <v>16</v>
      </c>
      <c r="K10" s="99" t="s">
        <v>17</v>
      </c>
      <c r="L10" s="99" t="s">
        <v>18</v>
      </c>
      <c r="M10" s="99" t="s">
        <v>19</v>
      </c>
      <c r="N10" s="99" t="s">
        <v>20</v>
      </c>
      <c r="O10" s="107" t="s">
        <v>23</v>
      </c>
      <c r="P10" s="99" t="s">
        <v>24</v>
      </c>
      <c r="Q10" s="99" t="s">
        <v>25</v>
      </c>
      <c r="R10" s="99" t="s">
        <v>26</v>
      </c>
      <c r="S10" s="99" t="s">
        <v>27</v>
      </c>
      <c r="T10" s="99" t="s">
        <v>3</v>
      </c>
      <c r="U10" s="94" t="s">
        <v>306</v>
      </c>
      <c r="V10" s="104" t="s">
        <v>120</v>
      </c>
    </row>
    <row r="11" spans="1:22" ht="12.75">
      <c r="A11" s="6" t="s">
        <v>142</v>
      </c>
      <c r="B11" s="103"/>
      <c r="C11" s="94"/>
      <c r="D11" s="104"/>
      <c r="E11" s="94"/>
      <c r="F11" s="94"/>
      <c r="G11" s="94"/>
      <c r="H11" s="99"/>
      <c r="I11" s="99"/>
      <c r="J11" s="99"/>
      <c r="K11" s="99"/>
      <c r="L11" s="99"/>
      <c r="M11" s="99"/>
      <c r="N11" s="99"/>
      <c r="O11" s="107"/>
      <c r="P11" s="99"/>
      <c r="Q11" s="99"/>
      <c r="R11" s="99"/>
      <c r="S11" s="99"/>
      <c r="T11" s="99"/>
      <c r="U11" s="94"/>
      <c r="V11" s="104"/>
    </row>
    <row r="12" spans="1:22" ht="12.75">
      <c r="A12" s="7"/>
      <c r="B12" s="7"/>
      <c r="C12" s="8"/>
      <c r="D12" s="9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76"/>
      <c r="P12" s="10"/>
      <c r="Q12" s="10"/>
      <c r="R12" s="10"/>
      <c r="S12" s="10"/>
      <c r="T12" s="10"/>
      <c r="U12" s="8"/>
      <c r="V12" s="9"/>
    </row>
    <row r="13" spans="1:22" ht="15">
      <c r="A13" s="91" t="s">
        <v>389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</row>
    <row r="14" spans="1:22" ht="25.5">
      <c r="A14" s="11" t="s">
        <v>143</v>
      </c>
      <c r="B14" s="11" t="s">
        <v>145</v>
      </c>
      <c r="C14" s="12" t="s">
        <v>29</v>
      </c>
      <c r="D14" s="13" t="s">
        <v>40</v>
      </c>
      <c r="E14" s="14">
        <v>43435</v>
      </c>
      <c r="F14" s="12" t="s">
        <v>30</v>
      </c>
      <c r="G14" s="14">
        <v>44530</v>
      </c>
      <c r="H14" s="15">
        <f>1319.26+894.95</f>
        <v>2214.21</v>
      </c>
      <c r="I14" s="15">
        <v>1873.43</v>
      </c>
      <c r="J14" s="15">
        <f>1116.22+757.21</f>
        <v>1873.43</v>
      </c>
      <c r="K14" s="15">
        <f aca="true" t="shared" si="0" ref="K14:Q14">757.21+1116.22</f>
        <v>1873.43</v>
      </c>
      <c r="L14" s="15">
        <f t="shared" si="0"/>
        <v>1873.43</v>
      </c>
      <c r="M14" s="15">
        <f t="shared" si="0"/>
        <v>1873.43</v>
      </c>
      <c r="N14" s="15">
        <f t="shared" si="0"/>
        <v>1873.43</v>
      </c>
      <c r="O14" s="15">
        <f t="shared" si="0"/>
        <v>1873.43</v>
      </c>
      <c r="P14" s="15">
        <f t="shared" si="0"/>
        <v>1873.43</v>
      </c>
      <c r="Q14" s="15">
        <f t="shared" si="0"/>
        <v>1873.43</v>
      </c>
      <c r="R14" s="15">
        <v>757.21</v>
      </c>
      <c r="S14" s="15">
        <v>757.21</v>
      </c>
      <c r="T14" s="16">
        <f aca="true" t="shared" si="1" ref="T14:T22">SUM(H14:S14)</f>
        <v>20589.5</v>
      </c>
      <c r="U14" s="17" t="s">
        <v>308</v>
      </c>
      <c r="V14" s="13" t="s">
        <v>121</v>
      </c>
    </row>
    <row r="15" spans="1:22" ht="25.5" customHeight="1">
      <c r="A15" s="11" t="s">
        <v>143</v>
      </c>
      <c r="B15" s="11" t="s">
        <v>145</v>
      </c>
      <c r="C15" s="12" t="s">
        <v>104</v>
      </c>
      <c r="D15" s="13" t="s">
        <v>102</v>
      </c>
      <c r="E15" s="14">
        <v>44886</v>
      </c>
      <c r="F15" s="12" t="s">
        <v>103</v>
      </c>
      <c r="G15" s="14">
        <v>44886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900</v>
      </c>
      <c r="S15" s="15">
        <v>0</v>
      </c>
      <c r="T15" s="16">
        <f t="shared" si="1"/>
        <v>900</v>
      </c>
      <c r="U15" s="17" t="s">
        <v>309</v>
      </c>
      <c r="V15" s="13" t="s">
        <v>121</v>
      </c>
    </row>
    <row r="16" spans="1:22" ht="25.5" customHeight="1">
      <c r="A16" s="11" t="s">
        <v>143</v>
      </c>
      <c r="B16" s="11" t="s">
        <v>145</v>
      </c>
      <c r="C16" s="12" t="s">
        <v>124</v>
      </c>
      <c r="D16" s="13" t="s">
        <v>125</v>
      </c>
      <c r="E16" s="14">
        <v>43435</v>
      </c>
      <c r="F16" s="18" t="s">
        <v>38</v>
      </c>
      <c r="G16" s="14">
        <v>44895</v>
      </c>
      <c r="H16" s="15">
        <v>2068.2</v>
      </c>
      <c r="I16" s="15">
        <v>2068.2</v>
      </c>
      <c r="J16" s="15">
        <v>2068.2</v>
      </c>
      <c r="K16" s="15">
        <v>2068.2</v>
      </c>
      <c r="L16" s="15">
        <v>2068.2</v>
      </c>
      <c r="M16" s="15">
        <v>2068.2</v>
      </c>
      <c r="N16" s="15">
        <v>2068.2</v>
      </c>
      <c r="O16" s="15">
        <v>2068.2</v>
      </c>
      <c r="P16" s="15">
        <v>2068.2</v>
      </c>
      <c r="Q16" s="15">
        <v>2068.2</v>
      </c>
      <c r="R16" s="15">
        <v>2068.2</v>
      </c>
      <c r="S16" s="15">
        <v>2068.2</v>
      </c>
      <c r="T16" s="16">
        <f t="shared" si="1"/>
        <v>24818.400000000005</v>
      </c>
      <c r="U16" s="17" t="s">
        <v>310</v>
      </c>
      <c r="V16" s="13" t="s">
        <v>121</v>
      </c>
    </row>
    <row r="17" spans="1:22" ht="25.5">
      <c r="A17" s="11" t="s">
        <v>143</v>
      </c>
      <c r="B17" s="11" t="s">
        <v>145</v>
      </c>
      <c r="C17" s="12" t="s">
        <v>122</v>
      </c>
      <c r="D17" s="13" t="s">
        <v>123</v>
      </c>
      <c r="E17" s="14">
        <v>43435</v>
      </c>
      <c r="F17" s="18" t="s">
        <v>31</v>
      </c>
      <c r="G17" s="14">
        <v>44895</v>
      </c>
      <c r="H17" s="15">
        <v>252.54</v>
      </c>
      <c r="I17" s="15">
        <v>252.54</v>
      </c>
      <c r="J17" s="15">
        <v>252.54</v>
      </c>
      <c r="K17" s="15">
        <v>252.54</v>
      </c>
      <c r="L17" s="15">
        <v>252.54</v>
      </c>
      <c r="M17" s="15">
        <v>252.54</v>
      </c>
      <c r="N17" s="15">
        <v>252.54</v>
      </c>
      <c r="O17" s="15">
        <v>252.54</v>
      </c>
      <c r="P17" s="15">
        <v>252.54</v>
      </c>
      <c r="Q17" s="15">
        <v>252.54</v>
      </c>
      <c r="R17" s="15">
        <v>252.54</v>
      </c>
      <c r="S17" s="15">
        <v>252.54</v>
      </c>
      <c r="T17" s="16">
        <f t="shared" si="1"/>
        <v>3030.48</v>
      </c>
      <c r="U17" s="17" t="s">
        <v>311</v>
      </c>
      <c r="V17" s="13" t="s">
        <v>121</v>
      </c>
    </row>
    <row r="18" spans="1:22" ht="25.5">
      <c r="A18" s="11" t="s">
        <v>143</v>
      </c>
      <c r="B18" s="11" t="s">
        <v>145</v>
      </c>
      <c r="C18" s="12" t="s">
        <v>378</v>
      </c>
      <c r="D18" s="13" t="s">
        <v>379</v>
      </c>
      <c r="E18" s="14">
        <v>43974</v>
      </c>
      <c r="F18" s="18" t="s">
        <v>358</v>
      </c>
      <c r="G18" s="14">
        <v>44704</v>
      </c>
      <c r="H18" s="15">
        <v>18700</v>
      </c>
      <c r="I18" s="15">
        <v>16830</v>
      </c>
      <c r="J18" s="15">
        <v>16830</v>
      </c>
      <c r="K18" s="15">
        <f>16830+10540</f>
        <v>27370</v>
      </c>
      <c r="L18" s="15">
        <v>27370</v>
      </c>
      <c r="M18" s="15">
        <v>27370</v>
      </c>
      <c r="N18" s="15">
        <v>28726</v>
      </c>
      <c r="O18" s="15">
        <v>28726</v>
      </c>
      <c r="P18" s="15">
        <v>28726</v>
      </c>
      <c r="Q18" s="15">
        <v>28726</v>
      </c>
      <c r="R18" s="15">
        <v>28726</v>
      </c>
      <c r="S18" s="15">
        <v>28726</v>
      </c>
      <c r="T18" s="16">
        <f t="shared" si="1"/>
        <v>306826</v>
      </c>
      <c r="U18" s="17" t="s">
        <v>310</v>
      </c>
      <c r="V18" s="13" t="s">
        <v>121</v>
      </c>
    </row>
    <row r="19" spans="1:22" ht="36.75" customHeight="1">
      <c r="A19" s="11" t="s">
        <v>143</v>
      </c>
      <c r="B19" s="11" t="s">
        <v>145</v>
      </c>
      <c r="C19" s="12" t="s">
        <v>450</v>
      </c>
      <c r="D19" s="13" t="s">
        <v>453</v>
      </c>
      <c r="E19" s="14">
        <v>44461</v>
      </c>
      <c r="F19" s="12" t="s">
        <v>30</v>
      </c>
      <c r="G19" s="14">
        <v>44826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344</v>
      </c>
      <c r="R19" s="15">
        <v>344</v>
      </c>
      <c r="S19" s="15">
        <v>344</v>
      </c>
      <c r="T19" s="16">
        <f t="shared" si="1"/>
        <v>1032</v>
      </c>
      <c r="U19" s="17" t="s">
        <v>308</v>
      </c>
      <c r="V19" s="13" t="s">
        <v>121</v>
      </c>
    </row>
    <row r="20" spans="1:22" ht="26.25" customHeight="1">
      <c r="A20" s="11" t="s">
        <v>143</v>
      </c>
      <c r="B20" s="11" t="s">
        <v>145</v>
      </c>
      <c r="C20" s="12" t="s">
        <v>467</v>
      </c>
      <c r="D20" s="13" t="s">
        <v>466</v>
      </c>
      <c r="E20" s="14">
        <v>44518</v>
      </c>
      <c r="F20" s="12" t="s">
        <v>468</v>
      </c>
      <c r="G20" s="14">
        <v>44883</v>
      </c>
      <c r="H20" s="15">
        <v>0</v>
      </c>
      <c r="I20" s="15"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>
        <v>433.3</v>
      </c>
      <c r="T20" s="16">
        <f t="shared" si="1"/>
        <v>433.3</v>
      </c>
      <c r="U20" s="17" t="s">
        <v>361</v>
      </c>
      <c r="V20" s="13" t="s">
        <v>121</v>
      </c>
    </row>
    <row r="21" spans="1:22" ht="38.25">
      <c r="A21" s="11" t="s">
        <v>143</v>
      </c>
      <c r="B21" s="11" t="s">
        <v>145</v>
      </c>
      <c r="C21" s="12" t="s">
        <v>411</v>
      </c>
      <c r="D21" s="13" t="s">
        <v>412</v>
      </c>
      <c r="E21" s="14">
        <v>44098</v>
      </c>
      <c r="F21" s="18" t="s">
        <v>413</v>
      </c>
      <c r="G21" s="14">
        <v>44462</v>
      </c>
      <c r="H21" s="15">
        <v>844.2</v>
      </c>
      <c r="I21" s="15">
        <v>844.2</v>
      </c>
      <c r="J21" s="15">
        <v>844.2</v>
      </c>
      <c r="K21" s="15">
        <v>844.2</v>
      </c>
      <c r="L21" s="15">
        <v>844.2</v>
      </c>
      <c r="M21" s="15">
        <v>844.2</v>
      </c>
      <c r="N21" s="15">
        <v>844.2</v>
      </c>
      <c r="O21" s="15">
        <v>844.2</v>
      </c>
      <c r="P21" s="15">
        <v>844.2</v>
      </c>
      <c r="Q21" s="15">
        <v>885.06</v>
      </c>
      <c r="R21" s="15">
        <v>885.06</v>
      </c>
      <c r="S21" s="15">
        <v>885.06</v>
      </c>
      <c r="T21" s="16">
        <f t="shared" si="1"/>
        <v>10252.979999999998</v>
      </c>
      <c r="U21" s="17" t="s">
        <v>414</v>
      </c>
      <c r="V21" s="13" t="s">
        <v>121</v>
      </c>
    </row>
    <row r="22" spans="1:22" ht="12.75">
      <c r="A22" s="94" t="s">
        <v>0</v>
      </c>
      <c r="B22" s="94"/>
      <c r="C22" s="94"/>
      <c r="D22" s="94"/>
      <c r="E22" s="94"/>
      <c r="F22" s="94"/>
      <c r="G22" s="94"/>
      <c r="H22" s="86">
        <f aca="true" t="shared" si="2" ref="H22:S22">SUM(H14:H21)</f>
        <v>24079.15</v>
      </c>
      <c r="I22" s="86">
        <f t="shared" si="2"/>
        <v>21868.37</v>
      </c>
      <c r="J22" s="86">
        <f t="shared" si="2"/>
        <v>21868.37</v>
      </c>
      <c r="K22" s="86">
        <f t="shared" si="2"/>
        <v>32408.37</v>
      </c>
      <c r="L22" s="86">
        <f t="shared" si="2"/>
        <v>32408.37</v>
      </c>
      <c r="M22" s="86">
        <f t="shared" si="2"/>
        <v>32408.37</v>
      </c>
      <c r="N22" s="86">
        <f t="shared" si="2"/>
        <v>33764.369999999995</v>
      </c>
      <c r="O22" s="78">
        <f t="shared" si="2"/>
        <v>33764.369999999995</v>
      </c>
      <c r="P22" s="86">
        <f t="shared" si="2"/>
        <v>33764.369999999995</v>
      </c>
      <c r="Q22" s="86">
        <f t="shared" si="2"/>
        <v>34149.229999999996</v>
      </c>
      <c r="R22" s="86">
        <f t="shared" si="2"/>
        <v>33933.009999999995</v>
      </c>
      <c r="S22" s="86">
        <f t="shared" si="2"/>
        <v>33466.31</v>
      </c>
      <c r="T22" s="16">
        <f t="shared" si="1"/>
        <v>367882.66</v>
      </c>
      <c r="U22" s="95"/>
      <c r="V22" s="95"/>
    </row>
    <row r="23" spans="1:22" ht="12.75">
      <c r="A23" s="8"/>
      <c r="B23" s="8"/>
      <c r="C23" s="8"/>
      <c r="D23" s="8"/>
      <c r="E23" s="8"/>
      <c r="F23" s="8"/>
      <c r="G23" s="8"/>
      <c r="H23" s="19"/>
      <c r="I23" s="19"/>
      <c r="J23" s="19"/>
      <c r="K23" s="19"/>
      <c r="L23" s="19"/>
      <c r="M23" s="19"/>
      <c r="N23" s="19"/>
      <c r="O23" s="79"/>
      <c r="P23" s="19"/>
      <c r="Q23" s="19"/>
      <c r="R23" s="19"/>
      <c r="S23" s="19"/>
      <c r="T23" s="20"/>
      <c r="U23" s="19"/>
      <c r="V23" s="19"/>
    </row>
    <row r="24" spans="1:22" s="21" customFormat="1" ht="15">
      <c r="A24" s="91" t="s">
        <v>390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</row>
    <row r="25" spans="1:22" s="4" customFormat="1" ht="25.5">
      <c r="A25" s="22" t="s">
        <v>143</v>
      </c>
      <c r="B25" s="22" t="s">
        <v>145</v>
      </c>
      <c r="C25" s="12" t="s">
        <v>4</v>
      </c>
      <c r="D25" s="23" t="s">
        <v>41</v>
      </c>
      <c r="E25" s="14">
        <v>43435</v>
      </c>
      <c r="F25" s="18" t="s">
        <v>11</v>
      </c>
      <c r="G25" s="14">
        <v>44530</v>
      </c>
      <c r="H25" s="15">
        <v>707.21</v>
      </c>
      <c r="I25" s="15">
        <v>707.21</v>
      </c>
      <c r="J25" s="15">
        <v>707.21</v>
      </c>
      <c r="K25" s="15">
        <v>707.21</v>
      </c>
      <c r="L25" s="15">
        <v>707.21</v>
      </c>
      <c r="M25" s="15">
        <v>707.21</v>
      </c>
      <c r="N25" s="15">
        <v>0</v>
      </c>
      <c r="O25" s="77">
        <v>1433.32</v>
      </c>
      <c r="P25" s="15">
        <v>707.21</v>
      </c>
      <c r="Q25" s="15">
        <v>688.31</v>
      </c>
      <c r="R25" s="15">
        <v>707.21</v>
      </c>
      <c r="S25" s="15">
        <v>828.59</v>
      </c>
      <c r="T25" s="16">
        <f>SUM(H25:S25)</f>
        <v>8607.9</v>
      </c>
      <c r="U25" s="17" t="s">
        <v>312</v>
      </c>
      <c r="V25" s="23" t="s">
        <v>121</v>
      </c>
    </row>
    <row r="26" spans="1:22" ht="12.75">
      <c r="A26" s="94" t="s">
        <v>0</v>
      </c>
      <c r="B26" s="94"/>
      <c r="C26" s="94"/>
      <c r="D26" s="94"/>
      <c r="E26" s="94"/>
      <c r="F26" s="94"/>
      <c r="G26" s="94"/>
      <c r="H26" s="86">
        <f aca="true" t="shared" si="3" ref="H26:S26">SUM(H25:H25)</f>
        <v>707.21</v>
      </c>
      <c r="I26" s="86">
        <f t="shared" si="3"/>
        <v>707.21</v>
      </c>
      <c r="J26" s="86">
        <f t="shared" si="3"/>
        <v>707.21</v>
      </c>
      <c r="K26" s="86">
        <f t="shared" si="3"/>
        <v>707.21</v>
      </c>
      <c r="L26" s="86">
        <f t="shared" si="3"/>
        <v>707.21</v>
      </c>
      <c r="M26" s="86">
        <f t="shared" si="3"/>
        <v>707.21</v>
      </c>
      <c r="N26" s="86">
        <f t="shared" si="3"/>
        <v>0</v>
      </c>
      <c r="O26" s="78">
        <f t="shared" si="3"/>
        <v>1433.32</v>
      </c>
      <c r="P26" s="86">
        <f t="shared" si="3"/>
        <v>707.21</v>
      </c>
      <c r="Q26" s="86">
        <f t="shared" si="3"/>
        <v>688.31</v>
      </c>
      <c r="R26" s="86">
        <f t="shared" si="3"/>
        <v>707.21</v>
      </c>
      <c r="S26" s="86">
        <f t="shared" si="3"/>
        <v>828.59</v>
      </c>
      <c r="T26" s="16">
        <f>SUM(H26:S26)</f>
        <v>8607.9</v>
      </c>
      <c r="U26" s="95"/>
      <c r="V26" s="95"/>
    </row>
    <row r="27" spans="1:22" s="21" customFormat="1" ht="12.75">
      <c r="A27" s="8"/>
      <c r="B27" s="8"/>
      <c r="C27" s="8"/>
      <c r="D27" s="8"/>
      <c r="E27" s="8"/>
      <c r="F27" s="8"/>
      <c r="G27" s="8"/>
      <c r="H27" s="19"/>
      <c r="I27" s="19"/>
      <c r="J27" s="19"/>
      <c r="K27" s="19"/>
      <c r="L27" s="19"/>
      <c r="M27" s="19"/>
      <c r="N27" s="19"/>
      <c r="O27" s="79"/>
      <c r="P27" s="19"/>
      <c r="Q27" s="19"/>
      <c r="R27" s="19"/>
      <c r="S27" s="19"/>
      <c r="T27" s="20"/>
      <c r="U27" s="20"/>
      <c r="V27" s="10"/>
    </row>
    <row r="28" spans="1:22" s="21" customFormat="1" ht="15">
      <c r="A28" s="101" t="s">
        <v>391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3"/>
    </row>
    <row r="29" spans="1:22" ht="30" customHeight="1">
      <c r="A29" s="11" t="s">
        <v>143</v>
      </c>
      <c r="B29" s="11" t="s">
        <v>145</v>
      </c>
      <c r="C29" s="12" t="s">
        <v>380</v>
      </c>
      <c r="D29" s="13" t="s">
        <v>381</v>
      </c>
      <c r="E29" s="14">
        <v>43983</v>
      </c>
      <c r="F29" s="12" t="s">
        <v>382</v>
      </c>
      <c r="G29" s="14">
        <v>44879</v>
      </c>
      <c r="H29" s="15">
        <v>5619.2</v>
      </c>
      <c r="I29" s="15">
        <v>3194.4</v>
      </c>
      <c r="J29" s="15">
        <v>3384.4</v>
      </c>
      <c r="K29" s="15">
        <v>1749.6</v>
      </c>
      <c r="L29" s="15">
        <v>3579.6</v>
      </c>
      <c r="M29" s="15">
        <v>3538.13</v>
      </c>
      <c r="N29" s="15">
        <v>2404.8</v>
      </c>
      <c r="O29" s="77">
        <v>4944.4</v>
      </c>
      <c r="P29" s="15">
        <v>2569.6</v>
      </c>
      <c r="Q29" s="15">
        <v>3584.4</v>
      </c>
      <c r="R29" s="15">
        <v>2839.6</v>
      </c>
      <c r="S29" s="15">
        <v>2084.8</v>
      </c>
      <c r="T29" s="16">
        <f>SUM(H29:S29)</f>
        <v>39492.93</v>
      </c>
      <c r="U29" s="17" t="s">
        <v>307</v>
      </c>
      <c r="V29" s="13" t="s">
        <v>121</v>
      </c>
    </row>
    <row r="30" spans="1:22" ht="30" customHeight="1">
      <c r="A30" s="11" t="s">
        <v>143</v>
      </c>
      <c r="B30" s="11" t="s">
        <v>145</v>
      </c>
      <c r="C30" s="12" t="s">
        <v>208</v>
      </c>
      <c r="D30" s="13" t="s">
        <v>223</v>
      </c>
      <c r="E30" s="14">
        <v>43497</v>
      </c>
      <c r="F30" s="12" t="s">
        <v>215</v>
      </c>
      <c r="G30" s="14">
        <v>44873</v>
      </c>
      <c r="H30" s="15">
        <v>8142.5</v>
      </c>
      <c r="I30" s="15">
        <v>10175</v>
      </c>
      <c r="J30" s="15">
        <v>7817.5</v>
      </c>
      <c r="K30" s="15">
        <v>7432.5</v>
      </c>
      <c r="L30" s="15">
        <v>8272.5</v>
      </c>
      <c r="M30" s="15">
        <v>8027.5</v>
      </c>
      <c r="N30" s="15">
        <v>6402.5</v>
      </c>
      <c r="O30" s="77">
        <v>7552.5</v>
      </c>
      <c r="P30" s="15">
        <v>7880</v>
      </c>
      <c r="Q30" s="15">
        <v>8200</v>
      </c>
      <c r="R30" s="15">
        <v>5605</v>
      </c>
      <c r="S30" s="15">
        <v>4942.5</v>
      </c>
      <c r="T30" s="16">
        <f aca="true" t="shared" si="4" ref="T30:T100">SUM(H30:S30)</f>
        <v>90450</v>
      </c>
      <c r="U30" s="17" t="s">
        <v>307</v>
      </c>
      <c r="V30" s="13" t="s">
        <v>121</v>
      </c>
    </row>
    <row r="31" spans="1:22" ht="30" customHeight="1">
      <c r="A31" s="11" t="s">
        <v>143</v>
      </c>
      <c r="B31" s="11" t="s">
        <v>145</v>
      </c>
      <c r="C31" s="12" t="s">
        <v>188</v>
      </c>
      <c r="D31" s="13" t="s">
        <v>105</v>
      </c>
      <c r="E31" s="14">
        <v>43435</v>
      </c>
      <c r="F31" s="12" t="s">
        <v>75</v>
      </c>
      <c r="G31" s="14">
        <v>44871</v>
      </c>
      <c r="H31" s="15">
        <v>3130</v>
      </c>
      <c r="I31" s="15">
        <v>1942.5</v>
      </c>
      <c r="J31" s="15">
        <v>2655</v>
      </c>
      <c r="K31" s="15">
        <v>2565</v>
      </c>
      <c r="L31" s="15">
        <v>3850</v>
      </c>
      <c r="M31" s="15">
        <v>3950</v>
      </c>
      <c r="N31" s="15">
        <v>3570</v>
      </c>
      <c r="O31" s="77">
        <v>3350</v>
      </c>
      <c r="P31" s="15">
        <v>3754.5</v>
      </c>
      <c r="Q31" s="77">
        <v>5950</v>
      </c>
      <c r="R31" s="15">
        <v>5254.25</v>
      </c>
      <c r="S31" s="15">
        <v>4287.5</v>
      </c>
      <c r="T31" s="90">
        <f t="shared" si="4"/>
        <v>44258.75</v>
      </c>
      <c r="U31" s="17" t="s">
        <v>307</v>
      </c>
      <c r="V31" s="13" t="s">
        <v>121</v>
      </c>
    </row>
    <row r="32" spans="1:22" ht="30" customHeight="1">
      <c r="A32" s="11" t="s">
        <v>143</v>
      </c>
      <c r="B32" s="11" t="s">
        <v>145</v>
      </c>
      <c r="C32" s="12" t="s">
        <v>462</v>
      </c>
      <c r="D32" s="13" t="s">
        <v>464</v>
      </c>
      <c r="E32" s="14">
        <v>44551</v>
      </c>
      <c r="F32" s="12" t="s">
        <v>75</v>
      </c>
      <c r="G32" s="14">
        <v>44916</v>
      </c>
      <c r="H32" s="15">
        <v>0</v>
      </c>
      <c r="I32" s="15">
        <v>0</v>
      </c>
      <c r="J32" s="15"/>
      <c r="K32" s="15"/>
      <c r="L32" s="15"/>
      <c r="M32" s="15">
        <v>0</v>
      </c>
      <c r="N32" s="15">
        <v>0</v>
      </c>
      <c r="O32" s="77">
        <v>0</v>
      </c>
      <c r="P32" s="15">
        <v>0</v>
      </c>
      <c r="Q32" s="77">
        <v>0</v>
      </c>
      <c r="R32" s="15">
        <v>0</v>
      </c>
      <c r="S32" s="15">
        <v>2640</v>
      </c>
      <c r="T32" s="90">
        <f t="shared" si="4"/>
        <v>2640</v>
      </c>
      <c r="U32" s="17" t="s">
        <v>307</v>
      </c>
      <c r="V32" s="13"/>
    </row>
    <row r="33" spans="1:22" ht="30" customHeight="1">
      <c r="A33" s="11" t="s">
        <v>143</v>
      </c>
      <c r="B33" s="11" t="s">
        <v>145</v>
      </c>
      <c r="C33" s="12" t="s">
        <v>274</v>
      </c>
      <c r="D33" s="13" t="s">
        <v>275</v>
      </c>
      <c r="E33" s="14">
        <v>43685</v>
      </c>
      <c r="F33" s="12" t="s">
        <v>276</v>
      </c>
      <c r="G33" s="14">
        <v>44868</v>
      </c>
      <c r="H33" s="15">
        <f>5185.1+5149.35+79868.9</f>
        <v>90203.34999999999</v>
      </c>
      <c r="I33" s="15">
        <f>6215.4+4499.4+82088.9</f>
        <v>92803.7</v>
      </c>
      <c r="J33" s="15">
        <f>81819.65+3196+3221</f>
        <v>88236.65</v>
      </c>
      <c r="K33" s="15">
        <f>5819.05+5816.05+72787</f>
        <v>84422.1</v>
      </c>
      <c r="L33" s="15">
        <f>5824.3+83350.58+5885.05</f>
        <v>95059.93000000001</v>
      </c>
      <c r="M33" s="15">
        <f>85621.45+3923.2+4683.65</f>
        <v>94228.29999999999</v>
      </c>
      <c r="N33" s="15">
        <f>2878.55+2132.1+75997.15</f>
        <v>81007.79999999999</v>
      </c>
      <c r="O33" s="77">
        <f>74489.7+3267.5+3399.75</f>
        <v>81156.95</v>
      </c>
      <c r="P33" s="15">
        <f>75474+5098.55+4434.35</f>
        <v>85006.90000000001</v>
      </c>
      <c r="Q33" s="15">
        <f>9813+10055+123517.5</f>
        <v>143385.5</v>
      </c>
      <c r="R33" s="15">
        <f>6930.15+10058.1+157490.36</f>
        <v>174478.61</v>
      </c>
      <c r="S33" s="15">
        <f>187872.1+6625.25+6685.75</f>
        <v>201183.1</v>
      </c>
      <c r="T33" s="16">
        <f t="shared" si="4"/>
        <v>1311172.89</v>
      </c>
      <c r="U33" s="17" t="s">
        <v>307</v>
      </c>
      <c r="V33" s="13" t="s">
        <v>121</v>
      </c>
    </row>
    <row r="34" spans="1:22" ht="30" customHeight="1">
      <c r="A34" s="11" t="s">
        <v>143</v>
      </c>
      <c r="B34" s="11" t="s">
        <v>145</v>
      </c>
      <c r="C34" s="12" t="s">
        <v>451</v>
      </c>
      <c r="D34" s="13" t="s">
        <v>454</v>
      </c>
      <c r="E34" s="14">
        <v>44484</v>
      </c>
      <c r="F34" s="12" t="s">
        <v>82</v>
      </c>
      <c r="G34" s="14">
        <v>44849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1509.6</v>
      </c>
      <c r="R34" s="15">
        <v>1509.6</v>
      </c>
      <c r="S34" s="15">
        <v>2264.4</v>
      </c>
      <c r="T34" s="16">
        <f t="shared" si="4"/>
        <v>5283.6</v>
      </c>
      <c r="U34" s="17" t="s">
        <v>307</v>
      </c>
      <c r="V34" s="13" t="s">
        <v>121</v>
      </c>
    </row>
    <row r="35" spans="1:22" ht="30" customHeight="1">
      <c r="A35" s="11" t="s">
        <v>143</v>
      </c>
      <c r="B35" s="11" t="s">
        <v>145</v>
      </c>
      <c r="C35" s="12" t="s">
        <v>209</v>
      </c>
      <c r="D35" s="13" t="s">
        <v>221</v>
      </c>
      <c r="E35" s="14">
        <v>43497</v>
      </c>
      <c r="F35" s="12" t="s">
        <v>222</v>
      </c>
      <c r="G35" s="14">
        <v>44870</v>
      </c>
      <c r="H35" s="15">
        <f>5282.5+8772.5</f>
        <v>14055</v>
      </c>
      <c r="I35" s="15">
        <f>5635+3811</f>
        <v>9446</v>
      </c>
      <c r="J35" s="15">
        <f>5029+4050</f>
        <v>9079</v>
      </c>
      <c r="K35" s="15">
        <f>4395+3467.5</f>
        <v>7862.5</v>
      </c>
      <c r="L35" s="15">
        <f>6629+3675</f>
        <v>10304</v>
      </c>
      <c r="M35" s="15">
        <f>6076+4370</f>
        <v>10446</v>
      </c>
      <c r="N35" s="15">
        <f>4127.5+5664</f>
        <v>9791.5</v>
      </c>
      <c r="O35" s="77">
        <f>3027.5+6870</f>
        <v>9897.5</v>
      </c>
      <c r="P35" s="15">
        <f>4889+4402.5</f>
        <v>9291.5</v>
      </c>
      <c r="Q35" s="15">
        <f>4467.5+4889</f>
        <v>9356.5</v>
      </c>
      <c r="R35" s="15">
        <f>5764+4722.5</f>
        <v>10486.5</v>
      </c>
      <c r="S35" s="15">
        <f>5604+3005</f>
        <v>8609</v>
      </c>
      <c r="T35" s="16">
        <f t="shared" si="4"/>
        <v>118625</v>
      </c>
      <c r="U35" s="17" t="s">
        <v>307</v>
      </c>
      <c r="V35" s="13" t="s">
        <v>121</v>
      </c>
    </row>
    <row r="36" spans="1:22" ht="30" customHeight="1">
      <c r="A36" s="11" t="s">
        <v>143</v>
      </c>
      <c r="B36" s="11" t="s">
        <v>145</v>
      </c>
      <c r="C36" s="12" t="s">
        <v>422</v>
      </c>
      <c r="D36" s="13" t="s">
        <v>335</v>
      </c>
      <c r="E36" s="14">
        <v>43867</v>
      </c>
      <c r="F36" s="12" t="s">
        <v>76</v>
      </c>
      <c r="G36" s="14">
        <v>44870</v>
      </c>
      <c r="H36" s="15">
        <v>643.6</v>
      </c>
      <c r="I36" s="15">
        <v>1193.6</v>
      </c>
      <c r="J36" s="15">
        <v>1625.4</v>
      </c>
      <c r="K36" s="15">
        <v>2827.2</v>
      </c>
      <c r="L36" s="15">
        <v>2387.2</v>
      </c>
      <c r="M36" s="15">
        <v>1817.9</v>
      </c>
      <c r="N36" s="15">
        <v>3066.5</v>
      </c>
      <c r="O36" s="77">
        <v>1625.4</v>
      </c>
      <c r="P36" s="15">
        <v>1193.6</v>
      </c>
      <c r="Q36" s="15">
        <v>1083.6</v>
      </c>
      <c r="R36" s="15">
        <v>541.8</v>
      </c>
      <c r="S36" s="15">
        <v>1083.6</v>
      </c>
      <c r="T36" s="16">
        <f t="shared" si="4"/>
        <v>19089.399999999998</v>
      </c>
      <c r="U36" s="17" t="s">
        <v>307</v>
      </c>
      <c r="V36" s="13" t="s">
        <v>121</v>
      </c>
    </row>
    <row r="37" spans="1:22" ht="30" customHeight="1">
      <c r="A37" s="11" t="s">
        <v>143</v>
      </c>
      <c r="B37" s="11" t="s">
        <v>145</v>
      </c>
      <c r="C37" s="12" t="s">
        <v>189</v>
      </c>
      <c r="D37" s="13" t="s">
        <v>160</v>
      </c>
      <c r="E37" s="14">
        <v>43435</v>
      </c>
      <c r="F37" s="12" t="s">
        <v>70</v>
      </c>
      <c r="G37" s="14">
        <v>44881</v>
      </c>
      <c r="H37" s="15">
        <v>10170</v>
      </c>
      <c r="I37" s="15">
        <v>10085</v>
      </c>
      <c r="J37" s="77">
        <v>8985</v>
      </c>
      <c r="K37" s="15">
        <v>8590</v>
      </c>
      <c r="L37" s="15">
        <v>11990</v>
      </c>
      <c r="M37" s="15">
        <v>10900</v>
      </c>
      <c r="N37" s="15">
        <v>8135</v>
      </c>
      <c r="O37" s="77">
        <v>8890</v>
      </c>
      <c r="P37" s="15">
        <v>7990</v>
      </c>
      <c r="Q37" s="15">
        <v>7445</v>
      </c>
      <c r="R37" s="15">
        <v>9275</v>
      </c>
      <c r="S37" s="15">
        <v>7595</v>
      </c>
      <c r="T37" s="16">
        <f t="shared" si="4"/>
        <v>110050</v>
      </c>
      <c r="U37" s="17" t="s">
        <v>307</v>
      </c>
      <c r="V37" s="13" t="s">
        <v>121</v>
      </c>
    </row>
    <row r="38" spans="1:22" ht="45.75" customHeight="1">
      <c r="A38" s="11" t="s">
        <v>143</v>
      </c>
      <c r="B38" s="11" t="s">
        <v>145</v>
      </c>
      <c r="C38" s="12" t="s">
        <v>190</v>
      </c>
      <c r="D38" s="23" t="s">
        <v>42</v>
      </c>
      <c r="E38" s="14">
        <v>43435</v>
      </c>
      <c r="F38" s="12" t="s">
        <v>151</v>
      </c>
      <c r="G38" s="14">
        <v>44873</v>
      </c>
      <c r="H38" s="15">
        <f>6690+940</f>
        <v>7630</v>
      </c>
      <c r="I38" s="15">
        <f>7300+895</f>
        <v>8195</v>
      </c>
      <c r="J38" s="15">
        <f>1115+6317.5</f>
        <v>7432.5</v>
      </c>
      <c r="K38" s="15">
        <f>7450+690</f>
        <v>8140</v>
      </c>
      <c r="L38" s="15">
        <f>7675+925</f>
        <v>8600</v>
      </c>
      <c r="M38" s="15">
        <f>7880+1115</f>
        <v>8995</v>
      </c>
      <c r="N38" s="15">
        <f>8965+675</f>
        <v>9640</v>
      </c>
      <c r="O38" s="77">
        <f>7270+895</f>
        <v>8165</v>
      </c>
      <c r="P38" s="15">
        <f>6140+1115</f>
        <v>7255</v>
      </c>
      <c r="Q38" s="15">
        <f>6155+895</f>
        <v>7050</v>
      </c>
      <c r="R38" s="15">
        <f>6735+895</f>
        <v>7630</v>
      </c>
      <c r="S38" s="15">
        <f>4015+940</f>
        <v>4955</v>
      </c>
      <c r="T38" s="16">
        <f t="shared" si="4"/>
        <v>93687.5</v>
      </c>
      <c r="U38" s="17" t="s">
        <v>307</v>
      </c>
      <c r="V38" s="23" t="s">
        <v>121</v>
      </c>
    </row>
    <row r="39" spans="1:22" ht="30" customHeight="1">
      <c r="A39" s="11" t="s">
        <v>143</v>
      </c>
      <c r="B39" s="11" t="s">
        <v>145</v>
      </c>
      <c r="C39" s="12" t="s">
        <v>339</v>
      </c>
      <c r="D39" s="23" t="s">
        <v>344</v>
      </c>
      <c r="E39" s="14">
        <v>43911</v>
      </c>
      <c r="F39" s="12" t="s">
        <v>284</v>
      </c>
      <c r="G39" s="14">
        <v>44873</v>
      </c>
      <c r="H39" s="15">
        <v>2200</v>
      </c>
      <c r="I39" s="15">
        <v>1686.67</v>
      </c>
      <c r="J39" s="15">
        <v>2823.33</v>
      </c>
      <c r="K39" s="15">
        <v>2200</v>
      </c>
      <c r="L39" s="15">
        <v>2236.67</v>
      </c>
      <c r="M39" s="15">
        <v>2200</v>
      </c>
      <c r="N39" s="15">
        <v>2750</v>
      </c>
      <c r="O39" s="77">
        <v>660</v>
      </c>
      <c r="P39" s="15">
        <v>1320</v>
      </c>
      <c r="Q39" s="15">
        <v>1320</v>
      </c>
      <c r="R39" s="15">
        <v>3520</v>
      </c>
      <c r="S39" s="15">
        <v>2640</v>
      </c>
      <c r="T39" s="16">
        <f t="shared" si="4"/>
        <v>25556.67</v>
      </c>
      <c r="U39" s="17" t="s">
        <v>307</v>
      </c>
      <c r="V39" s="23" t="s">
        <v>121</v>
      </c>
    </row>
    <row r="40" spans="1:22" ht="30" customHeight="1">
      <c r="A40" s="11" t="s">
        <v>143</v>
      </c>
      <c r="B40" s="11" t="s">
        <v>145</v>
      </c>
      <c r="C40" s="12" t="s">
        <v>225</v>
      </c>
      <c r="D40" s="13" t="s">
        <v>176</v>
      </c>
      <c r="E40" s="14">
        <v>43435</v>
      </c>
      <c r="F40" s="12" t="s">
        <v>177</v>
      </c>
      <c r="G40" s="14">
        <v>44870</v>
      </c>
      <c r="H40" s="15">
        <v>16420</v>
      </c>
      <c r="I40" s="15">
        <v>14337.5</v>
      </c>
      <c r="J40" s="15">
        <v>9860</v>
      </c>
      <c r="K40" s="15">
        <v>16670</v>
      </c>
      <c r="L40" s="15">
        <v>18330</v>
      </c>
      <c r="M40" s="15">
        <v>16750</v>
      </c>
      <c r="N40" s="15">
        <v>15950</v>
      </c>
      <c r="O40" s="77">
        <v>14650</v>
      </c>
      <c r="P40" s="15">
        <v>12310</v>
      </c>
      <c r="Q40" s="15">
        <v>17640</v>
      </c>
      <c r="R40" s="15">
        <v>12837.5</v>
      </c>
      <c r="S40" s="15">
        <v>14720</v>
      </c>
      <c r="T40" s="16">
        <f t="shared" si="4"/>
        <v>180475</v>
      </c>
      <c r="U40" s="17" t="s">
        <v>307</v>
      </c>
      <c r="V40" s="13" t="s">
        <v>121</v>
      </c>
    </row>
    <row r="41" spans="1:22" ht="30" customHeight="1">
      <c r="A41" s="11" t="s">
        <v>336</v>
      </c>
      <c r="B41" s="11" t="s">
        <v>145</v>
      </c>
      <c r="C41" s="12" t="s">
        <v>224</v>
      </c>
      <c r="D41" s="23" t="s">
        <v>45</v>
      </c>
      <c r="E41" s="14">
        <v>43435</v>
      </c>
      <c r="F41" s="12" t="s">
        <v>73</v>
      </c>
      <c r="G41" s="14">
        <v>44513</v>
      </c>
      <c r="H41" s="15">
        <v>1980</v>
      </c>
      <c r="I41" s="15">
        <v>2007.5</v>
      </c>
      <c r="J41" s="15">
        <v>1320</v>
      </c>
      <c r="K41" s="15">
        <v>0</v>
      </c>
      <c r="L41" s="15"/>
      <c r="M41" s="15">
        <v>0</v>
      </c>
      <c r="N41" s="15">
        <v>0</v>
      </c>
      <c r="O41" s="77">
        <v>0</v>
      </c>
      <c r="P41" s="15">
        <v>0</v>
      </c>
      <c r="Q41" s="15"/>
      <c r="R41" s="15"/>
      <c r="S41" s="15">
        <v>0</v>
      </c>
      <c r="T41" s="16">
        <f t="shared" si="4"/>
        <v>5307.5</v>
      </c>
      <c r="U41" s="17" t="s">
        <v>307</v>
      </c>
      <c r="V41" s="23" t="s">
        <v>121</v>
      </c>
    </row>
    <row r="42" spans="1:22" ht="50.25" customHeight="1">
      <c r="A42" s="11" t="s">
        <v>143</v>
      </c>
      <c r="B42" s="11" t="s">
        <v>145</v>
      </c>
      <c r="C42" s="12" t="s">
        <v>227</v>
      </c>
      <c r="D42" s="23" t="s">
        <v>43</v>
      </c>
      <c r="E42" s="14">
        <v>43435</v>
      </c>
      <c r="F42" s="12" t="s">
        <v>69</v>
      </c>
      <c r="G42" s="14">
        <v>44880</v>
      </c>
      <c r="H42" s="15">
        <f>2750+8703.33</f>
        <v>11453.33</v>
      </c>
      <c r="I42" s="15">
        <f>6672.5+2390</f>
        <v>9062.5</v>
      </c>
      <c r="J42" s="15">
        <f>1510+11530</f>
        <v>13040</v>
      </c>
      <c r="K42" s="15">
        <f>8820+1435</f>
        <v>10255</v>
      </c>
      <c r="L42" s="15">
        <f>2765+10160</f>
        <v>12925</v>
      </c>
      <c r="M42" s="15">
        <f>3155+9850</f>
        <v>13005</v>
      </c>
      <c r="N42" s="15">
        <f>1680+11050</f>
        <v>12730</v>
      </c>
      <c r="O42" s="77">
        <f>9725+1555</f>
        <v>11280</v>
      </c>
      <c r="P42" s="15">
        <f>8625+1245</f>
        <v>9870</v>
      </c>
      <c r="Q42" s="15">
        <f>10167.5+810</f>
        <v>10977.5</v>
      </c>
      <c r="R42" s="15">
        <f>750+8312.5</f>
        <v>9062.5</v>
      </c>
      <c r="S42" s="15">
        <f>10165+805</f>
        <v>10970</v>
      </c>
      <c r="T42" s="16">
        <f t="shared" si="4"/>
        <v>134630.83000000002</v>
      </c>
      <c r="U42" s="17" t="s">
        <v>307</v>
      </c>
      <c r="V42" s="23" t="s">
        <v>121</v>
      </c>
    </row>
    <row r="43" spans="1:22" ht="30" customHeight="1">
      <c r="A43" s="11" t="s">
        <v>143</v>
      </c>
      <c r="B43" s="11" t="s">
        <v>145</v>
      </c>
      <c r="C43" s="12" t="s">
        <v>228</v>
      </c>
      <c r="D43" s="13" t="s">
        <v>175</v>
      </c>
      <c r="E43" s="14">
        <v>43435</v>
      </c>
      <c r="F43" s="12" t="s">
        <v>82</v>
      </c>
      <c r="G43" s="14">
        <v>44870</v>
      </c>
      <c r="H43" s="15">
        <v>7466.67</v>
      </c>
      <c r="I43" s="15">
        <v>13370</v>
      </c>
      <c r="J43" s="15">
        <v>10473.33</v>
      </c>
      <c r="K43" s="15">
        <v>15276.67</v>
      </c>
      <c r="L43" s="15">
        <v>11830</v>
      </c>
      <c r="M43" s="15">
        <v>11756.67</v>
      </c>
      <c r="N43" s="15">
        <v>11903.33</v>
      </c>
      <c r="O43" s="77">
        <v>9960</v>
      </c>
      <c r="P43" s="15">
        <v>12875</v>
      </c>
      <c r="Q43" s="15">
        <v>18100</v>
      </c>
      <c r="R43" s="15">
        <v>15973.33</v>
      </c>
      <c r="S43" s="15">
        <v>12673.33</v>
      </c>
      <c r="T43" s="16">
        <f t="shared" si="4"/>
        <v>151658.33</v>
      </c>
      <c r="U43" s="17" t="s">
        <v>307</v>
      </c>
      <c r="V43" s="13" t="s">
        <v>121</v>
      </c>
    </row>
    <row r="44" spans="1:22" ht="30" customHeight="1">
      <c r="A44" s="11" t="s">
        <v>143</v>
      </c>
      <c r="B44" s="11" t="s">
        <v>145</v>
      </c>
      <c r="C44" s="12" t="s">
        <v>229</v>
      </c>
      <c r="D44" s="13" t="s">
        <v>46</v>
      </c>
      <c r="E44" s="14">
        <v>43435</v>
      </c>
      <c r="F44" s="12" t="s">
        <v>76</v>
      </c>
      <c r="G44" s="14">
        <v>44881</v>
      </c>
      <c r="H44" s="15">
        <f>4766.66+440</f>
        <v>5206.66</v>
      </c>
      <c r="I44" s="15">
        <f>4399.99+470</f>
        <v>4869.99</v>
      </c>
      <c r="J44" s="15">
        <f>455+4399.99</f>
        <v>4854.99</v>
      </c>
      <c r="K44" s="15">
        <f>4399.9+440</f>
        <v>4839.9</v>
      </c>
      <c r="L44" s="15">
        <f>4399.99+455.09</f>
        <v>4855.08</v>
      </c>
      <c r="M44" s="15">
        <f>4399.99+440</f>
        <v>4839.99</v>
      </c>
      <c r="N44" s="15">
        <f>440+4399.99</f>
        <v>4839.99</v>
      </c>
      <c r="O44" s="77">
        <f>4399.99+440</f>
        <v>4839.99</v>
      </c>
      <c r="P44" s="15">
        <f>440+4399.99</f>
        <v>4839.99</v>
      </c>
      <c r="Q44" s="15">
        <f>4399.99+440</f>
        <v>4839.99</v>
      </c>
      <c r="R44" s="15">
        <f>4033.33+440</f>
        <v>4473.33</v>
      </c>
      <c r="S44" s="15">
        <f>4399.99+440</f>
        <v>4839.99</v>
      </c>
      <c r="T44" s="16">
        <f t="shared" si="4"/>
        <v>58139.88999999999</v>
      </c>
      <c r="U44" s="17" t="s">
        <v>307</v>
      </c>
      <c r="V44" s="13" t="s">
        <v>121</v>
      </c>
    </row>
    <row r="45" spans="1:22" ht="30" customHeight="1">
      <c r="A45" s="11" t="s">
        <v>143</v>
      </c>
      <c r="B45" s="11" t="s">
        <v>145</v>
      </c>
      <c r="C45" s="12" t="s">
        <v>230</v>
      </c>
      <c r="D45" s="13" t="s">
        <v>153</v>
      </c>
      <c r="E45" s="14">
        <v>43435</v>
      </c>
      <c r="F45" s="12" t="s">
        <v>154</v>
      </c>
      <c r="G45" s="14">
        <v>44868</v>
      </c>
      <c r="H45" s="15">
        <v>18493</v>
      </c>
      <c r="I45" s="15">
        <v>17099.5</v>
      </c>
      <c r="J45" s="15">
        <v>17128</v>
      </c>
      <c r="K45" s="15">
        <v>17313</v>
      </c>
      <c r="L45" s="15">
        <v>16758</v>
      </c>
      <c r="M45" s="15">
        <v>17258</v>
      </c>
      <c r="N45" s="15">
        <v>17318</v>
      </c>
      <c r="O45" s="77">
        <v>17208</v>
      </c>
      <c r="P45" s="15">
        <v>17458</v>
      </c>
      <c r="Q45" s="15">
        <v>22994.5</v>
      </c>
      <c r="R45" s="15">
        <v>21548</v>
      </c>
      <c r="S45" s="15">
        <v>25809</v>
      </c>
      <c r="T45" s="16">
        <f t="shared" si="4"/>
        <v>226385</v>
      </c>
      <c r="U45" s="17" t="s">
        <v>307</v>
      </c>
      <c r="V45" s="13" t="s">
        <v>121</v>
      </c>
    </row>
    <row r="46" spans="1:22" ht="30" customHeight="1">
      <c r="A46" s="11" t="s">
        <v>143</v>
      </c>
      <c r="B46" s="11" t="s">
        <v>145</v>
      </c>
      <c r="C46" s="12" t="s">
        <v>231</v>
      </c>
      <c r="D46" s="13" t="s">
        <v>44</v>
      </c>
      <c r="E46" s="14">
        <v>43435</v>
      </c>
      <c r="F46" s="12" t="s">
        <v>115</v>
      </c>
      <c r="G46" s="14">
        <v>44870</v>
      </c>
      <c r="H46" s="15">
        <f>885+1157.6</f>
        <v>2042.6</v>
      </c>
      <c r="I46" s="15">
        <f>710+1056.8</f>
        <v>1766.8</v>
      </c>
      <c r="J46" s="15">
        <v>1230</v>
      </c>
      <c r="K46" s="15">
        <f>1130+956.8</f>
        <v>2086.8</v>
      </c>
      <c r="L46" s="15">
        <f>1006.8+515</f>
        <v>1521.8</v>
      </c>
      <c r="M46" s="15">
        <v>1106.8</v>
      </c>
      <c r="N46" s="15">
        <f>1056.8+810</f>
        <v>1866.8</v>
      </c>
      <c r="O46" s="77">
        <f>1006.8+735</f>
        <v>1741.8</v>
      </c>
      <c r="P46" s="15">
        <f>1006.8+735</f>
        <v>1741.8</v>
      </c>
      <c r="Q46" s="15">
        <f>490+956.8</f>
        <v>1446.8</v>
      </c>
      <c r="R46" s="15">
        <f>955+786.8</f>
        <v>1741.8</v>
      </c>
      <c r="S46" s="15">
        <v>896.8</v>
      </c>
      <c r="T46" s="16">
        <f t="shared" si="4"/>
        <v>19190.599999999995</v>
      </c>
      <c r="U46" s="17" t="s">
        <v>307</v>
      </c>
      <c r="V46" s="13" t="s">
        <v>121</v>
      </c>
    </row>
    <row r="47" spans="1:22" ht="30" customHeight="1">
      <c r="A47" s="11" t="s">
        <v>143</v>
      </c>
      <c r="B47" s="11" t="s">
        <v>145</v>
      </c>
      <c r="C47" s="12" t="s">
        <v>294</v>
      </c>
      <c r="D47" s="13" t="s">
        <v>295</v>
      </c>
      <c r="E47" s="14">
        <v>43802</v>
      </c>
      <c r="F47" s="12" t="s">
        <v>75</v>
      </c>
      <c r="G47" s="14">
        <v>44870</v>
      </c>
      <c r="H47" s="15">
        <v>4702.5</v>
      </c>
      <c r="I47" s="15">
        <v>8592.5</v>
      </c>
      <c r="J47" s="15">
        <v>9380</v>
      </c>
      <c r="K47" s="15">
        <v>10415</v>
      </c>
      <c r="L47" s="15">
        <v>10555</v>
      </c>
      <c r="M47" s="15">
        <v>8470</v>
      </c>
      <c r="N47" s="15">
        <v>9800</v>
      </c>
      <c r="O47" s="77">
        <v>9680</v>
      </c>
      <c r="P47" s="15">
        <v>7260</v>
      </c>
      <c r="Q47" s="15">
        <v>7535</v>
      </c>
      <c r="R47" s="15">
        <v>7425</v>
      </c>
      <c r="S47" s="15">
        <v>7425</v>
      </c>
      <c r="T47" s="16">
        <f t="shared" si="4"/>
        <v>101240</v>
      </c>
      <c r="U47" s="17" t="s">
        <v>307</v>
      </c>
      <c r="V47" s="13" t="s">
        <v>121</v>
      </c>
    </row>
    <row r="48" spans="1:22" ht="30" customHeight="1">
      <c r="A48" s="11" t="s">
        <v>143</v>
      </c>
      <c r="B48" s="11" t="s">
        <v>145</v>
      </c>
      <c r="C48" s="12" t="s">
        <v>232</v>
      </c>
      <c r="D48" s="13" t="s">
        <v>47</v>
      </c>
      <c r="E48" s="14">
        <v>43435</v>
      </c>
      <c r="F48" s="12" t="s">
        <v>75</v>
      </c>
      <c r="G48" s="14">
        <v>44869</v>
      </c>
      <c r="H48" s="15">
        <v>12965</v>
      </c>
      <c r="I48" s="15">
        <v>14445</v>
      </c>
      <c r="J48" s="15">
        <v>12160</v>
      </c>
      <c r="K48" s="15">
        <v>15452.5</v>
      </c>
      <c r="L48" s="15">
        <v>18477.5</v>
      </c>
      <c r="M48" s="15">
        <v>19390</v>
      </c>
      <c r="N48" s="15">
        <v>19195</v>
      </c>
      <c r="O48" s="77">
        <v>18642.5</v>
      </c>
      <c r="P48" s="15">
        <v>14890</v>
      </c>
      <c r="Q48" s="15">
        <v>18690</v>
      </c>
      <c r="R48" s="15">
        <v>15362.5</v>
      </c>
      <c r="S48" s="15">
        <v>16395</v>
      </c>
      <c r="T48" s="16">
        <f t="shared" si="4"/>
        <v>196065</v>
      </c>
      <c r="U48" s="17" t="s">
        <v>307</v>
      </c>
      <c r="V48" s="13" t="s">
        <v>121</v>
      </c>
    </row>
    <row r="49" spans="1:22" ht="30" customHeight="1">
      <c r="A49" s="11" t="s">
        <v>143</v>
      </c>
      <c r="B49" s="11" t="s">
        <v>145</v>
      </c>
      <c r="C49" s="12" t="s">
        <v>292</v>
      </c>
      <c r="D49" s="13" t="s">
        <v>297</v>
      </c>
      <c r="E49" s="14">
        <v>43780</v>
      </c>
      <c r="F49" s="12" t="s">
        <v>298</v>
      </c>
      <c r="G49" s="14">
        <v>44881</v>
      </c>
      <c r="H49" s="15">
        <v>29914.8</v>
      </c>
      <c r="I49" s="15">
        <v>25066</v>
      </c>
      <c r="J49" s="15">
        <v>24013.2</v>
      </c>
      <c r="K49" s="15">
        <v>17510</v>
      </c>
      <c r="L49" s="15">
        <v>18360</v>
      </c>
      <c r="M49" s="15">
        <v>20740</v>
      </c>
      <c r="N49" s="15">
        <v>18530</v>
      </c>
      <c r="O49" s="77">
        <v>18870</v>
      </c>
      <c r="P49" s="15">
        <v>19890</v>
      </c>
      <c r="Q49" s="15">
        <v>21080</v>
      </c>
      <c r="R49" s="15">
        <v>18870</v>
      </c>
      <c r="S49" s="15">
        <v>19890</v>
      </c>
      <c r="T49" s="16">
        <f t="shared" si="4"/>
        <v>252734</v>
      </c>
      <c r="U49" s="17" t="s">
        <v>307</v>
      </c>
      <c r="V49" s="13" t="s">
        <v>121</v>
      </c>
    </row>
    <row r="50" spans="1:22" ht="30" customHeight="1">
      <c r="A50" s="11" t="s">
        <v>336</v>
      </c>
      <c r="B50" s="11" t="s">
        <v>145</v>
      </c>
      <c r="C50" s="12" t="s">
        <v>407</v>
      </c>
      <c r="D50" s="13" t="s">
        <v>408</v>
      </c>
      <c r="E50" s="14">
        <v>44114</v>
      </c>
      <c r="F50" s="12" t="s">
        <v>409</v>
      </c>
      <c r="G50" s="14">
        <v>44502</v>
      </c>
      <c r="H50" s="15">
        <v>629.6</v>
      </c>
      <c r="I50" s="15">
        <v>314.8</v>
      </c>
      <c r="J50" s="15">
        <v>629.6</v>
      </c>
      <c r="K50" s="15">
        <v>944.4</v>
      </c>
      <c r="L50" s="15">
        <v>0</v>
      </c>
      <c r="M50" s="15">
        <v>0</v>
      </c>
      <c r="N50" s="15">
        <v>0</v>
      </c>
      <c r="O50" s="77">
        <v>0</v>
      </c>
      <c r="P50" s="15">
        <v>0</v>
      </c>
      <c r="Q50" s="15">
        <v>0</v>
      </c>
      <c r="R50" s="15"/>
      <c r="S50" s="15">
        <v>0</v>
      </c>
      <c r="T50" s="16">
        <f t="shared" si="4"/>
        <v>2518.4</v>
      </c>
      <c r="U50" s="17" t="s">
        <v>307</v>
      </c>
      <c r="V50" s="13" t="s">
        <v>121</v>
      </c>
    </row>
    <row r="51" spans="1:22" ht="30" customHeight="1">
      <c r="A51" s="11" t="s">
        <v>143</v>
      </c>
      <c r="B51" s="11" t="s">
        <v>145</v>
      </c>
      <c r="C51" s="12" t="s">
        <v>136</v>
      </c>
      <c r="D51" s="13" t="s">
        <v>137</v>
      </c>
      <c r="E51" s="14">
        <v>43435</v>
      </c>
      <c r="F51" s="12" t="s">
        <v>139</v>
      </c>
      <c r="G51" s="14">
        <v>44880</v>
      </c>
      <c r="H51" s="15">
        <v>6710</v>
      </c>
      <c r="I51" s="15">
        <v>6162.5</v>
      </c>
      <c r="J51" s="15">
        <v>5370</v>
      </c>
      <c r="K51" s="15">
        <v>4665</v>
      </c>
      <c r="L51" s="15">
        <v>5275</v>
      </c>
      <c r="M51" s="15">
        <v>6205</v>
      </c>
      <c r="N51" s="15">
        <v>4945</v>
      </c>
      <c r="O51" s="77">
        <v>4755</v>
      </c>
      <c r="P51" s="15">
        <v>6780</v>
      </c>
      <c r="Q51" s="15">
        <v>6405</v>
      </c>
      <c r="R51" s="15">
        <v>6095</v>
      </c>
      <c r="S51" s="15">
        <v>5940</v>
      </c>
      <c r="T51" s="16">
        <f t="shared" si="4"/>
        <v>69307.5</v>
      </c>
      <c r="U51" s="17" t="s">
        <v>307</v>
      </c>
      <c r="V51" s="13" t="s">
        <v>121</v>
      </c>
    </row>
    <row r="52" spans="1:22" ht="36.75" customHeight="1">
      <c r="A52" s="11" t="s">
        <v>143</v>
      </c>
      <c r="B52" s="11" t="s">
        <v>145</v>
      </c>
      <c r="C52" s="12" t="s">
        <v>233</v>
      </c>
      <c r="D52" s="23" t="s">
        <v>48</v>
      </c>
      <c r="E52" s="14">
        <v>43435</v>
      </c>
      <c r="F52" s="12" t="s">
        <v>69</v>
      </c>
      <c r="G52" s="14">
        <v>44869</v>
      </c>
      <c r="H52" s="15">
        <v>4100</v>
      </c>
      <c r="I52" s="15">
        <v>2340</v>
      </c>
      <c r="J52" s="15">
        <v>3720</v>
      </c>
      <c r="K52" s="15">
        <v>3390</v>
      </c>
      <c r="L52" s="15">
        <v>4430</v>
      </c>
      <c r="M52" s="15">
        <v>3230</v>
      </c>
      <c r="N52" s="15">
        <v>1600</v>
      </c>
      <c r="O52" s="77">
        <v>2830</v>
      </c>
      <c r="P52" s="15">
        <v>3150</v>
      </c>
      <c r="Q52" s="15">
        <v>3230</v>
      </c>
      <c r="R52" s="15">
        <v>0</v>
      </c>
      <c r="S52" s="15">
        <v>0</v>
      </c>
      <c r="T52" s="16">
        <f t="shared" si="4"/>
        <v>32020</v>
      </c>
      <c r="U52" s="17" t="s">
        <v>307</v>
      </c>
      <c r="V52" s="23" t="s">
        <v>121</v>
      </c>
    </row>
    <row r="53" spans="1:22" ht="30" customHeight="1">
      <c r="A53" s="11" t="s">
        <v>143</v>
      </c>
      <c r="B53" s="11" t="s">
        <v>145</v>
      </c>
      <c r="C53" s="12" t="s">
        <v>279</v>
      </c>
      <c r="D53" s="23" t="s">
        <v>280</v>
      </c>
      <c r="E53" s="14">
        <v>43320</v>
      </c>
      <c r="F53" s="12" t="s">
        <v>281</v>
      </c>
      <c r="G53" s="14">
        <v>44869</v>
      </c>
      <c r="H53" s="15">
        <v>2310</v>
      </c>
      <c r="I53" s="15">
        <v>1815</v>
      </c>
      <c r="J53" s="15">
        <v>2805</v>
      </c>
      <c r="K53" s="15">
        <v>2200</v>
      </c>
      <c r="L53" s="15">
        <v>1705</v>
      </c>
      <c r="M53" s="15">
        <v>2750</v>
      </c>
      <c r="N53" s="15">
        <v>2255</v>
      </c>
      <c r="O53" s="77">
        <v>2805</v>
      </c>
      <c r="P53" s="15">
        <v>1650</v>
      </c>
      <c r="Q53" s="15">
        <v>1650</v>
      </c>
      <c r="R53" s="15">
        <v>1650</v>
      </c>
      <c r="S53" s="15">
        <v>1650</v>
      </c>
      <c r="T53" s="16">
        <f t="shared" si="4"/>
        <v>25245</v>
      </c>
      <c r="U53" s="17" t="s">
        <v>307</v>
      </c>
      <c r="V53" s="23" t="s">
        <v>121</v>
      </c>
    </row>
    <row r="54" spans="1:22" ht="30" customHeight="1">
      <c r="A54" s="11" t="s">
        <v>143</v>
      </c>
      <c r="B54" s="11" t="s">
        <v>145</v>
      </c>
      <c r="C54" s="12" t="s">
        <v>371</v>
      </c>
      <c r="D54" s="23" t="s">
        <v>431</v>
      </c>
      <c r="E54" s="14">
        <v>44048</v>
      </c>
      <c r="F54" s="12" t="s">
        <v>432</v>
      </c>
      <c r="G54" s="14">
        <v>44870</v>
      </c>
      <c r="H54" s="15">
        <v>2952.5</v>
      </c>
      <c r="I54" s="15">
        <v>1650</v>
      </c>
      <c r="J54" s="15">
        <v>2750</v>
      </c>
      <c r="K54" s="15">
        <v>2282.5</v>
      </c>
      <c r="L54" s="15">
        <v>2200</v>
      </c>
      <c r="M54" s="15">
        <v>2750</v>
      </c>
      <c r="N54" s="15">
        <v>1650</v>
      </c>
      <c r="O54" s="77">
        <v>1650</v>
      </c>
      <c r="P54" s="15">
        <v>2750</v>
      </c>
      <c r="Q54" s="15">
        <v>1650</v>
      </c>
      <c r="R54" s="15">
        <v>2200</v>
      </c>
      <c r="S54" s="15">
        <v>2255</v>
      </c>
      <c r="T54" s="16">
        <f t="shared" si="4"/>
        <v>26740</v>
      </c>
      <c r="U54" s="17" t="s">
        <v>307</v>
      </c>
      <c r="V54" s="23" t="s">
        <v>121</v>
      </c>
    </row>
    <row r="55" spans="1:22" ht="30" customHeight="1">
      <c r="A55" s="11" t="s">
        <v>336</v>
      </c>
      <c r="B55" s="11" t="s">
        <v>145</v>
      </c>
      <c r="C55" s="12" t="s">
        <v>234</v>
      </c>
      <c r="D55" s="13" t="s">
        <v>158</v>
      </c>
      <c r="E55" s="14">
        <v>43435</v>
      </c>
      <c r="F55" s="12" t="s">
        <v>82</v>
      </c>
      <c r="G55" s="14">
        <v>44502</v>
      </c>
      <c r="H55" s="15">
        <v>4840</v>
      </c>
      <c r="I55" s="15">
        <v>6160</v>
      </c>
      <c r="J55" s="15">
        <v>5720</v>
      </c>
      <c r="K55" s="15">
        <v>5280</v>
      </c>
      <c r="L55" s="15">
        <v>5756.67</v>
      </c>
      <c r="M55" s="15">
        <v>5720</v>
      </c>
      <c r="N55" s="15">
        <v>5280</v>
      </c>
      <c r="O55" s="77">
        <v>0</v>
      </c>
      <c r="P55" s="15"/>
      <c r="Q55" s="15"/>
      <c r="R55" s="15"/>
      <c r="S55" s="15">
        <v>0</v>
      </c>
      <c r="T55" s="16">
        <f t="shared" si="4"/>
        <v>38756.67</v>
      </c>
      <c r="U55" s="17" t="s">
        <v>307</v>
      </c>
      <c r="V55" s="13" t="s">
        <v>121</v>
      </c>
    </row>
    <row r="56" spans="1:22" ht="54" customHeight="1">
      <c r="A56" s="11" t="s">
        <v>143</v>
      </c>
      <c r="B56" s="11" t="s">
        <v>145</v>
      </c>
      <c r="C56" s="12" t="s">
        <v>243</v>
      </c>
      <c r="D56" s="23" t="s">
        <v>49</v>
      </c>
      <c r="E56" s="14">
        <v>43435</v>
      </c>
      <c r="F56" s="12" t="s">
        <v>77</v>
      </c>
      <c r="G56" s="14">
        <v>44869</v>
      </c>
      <c r="H56" s="15">
        <v>16532.5</v>
      </c>
      <c r="I56" s="15">
        <v>11370</v>
      </c>
      <c r="J56" s="15">
        <v>11672.5</v>
      </c>
      <c r="K56" s="15">
        <v>9885</v>
      </c>
      <c r="L56" s="15">
        <v>12507.5</v>
      </c>
      <c r="M56" s="15">
        <v>7782.5</v>
      </c>
      <c r="N56" s="15">
        <v>11535</v>
      </c>
      <c r="O56" s="77">
        <v>12057.5</v>
      </c>
      <c r="P56" s="15">
        <v>11000</v>
      </c>
      <c r="Q56" s="15">
        <v>10805</v>
      </c>
      <c r="R56" s="15">
        <v>10800</v>
      </c>
      <c r="S56" s="15">
        <v>12275</v>
      </c>
      <c r="T56" s="16">
        <f t="shared" si="4"/>
        <v>138222.5</v>
      </c>
      <c r="U56" s="17" t="s">
        <v>307</v>
      </c>
      <c r="V56" s="23" t="s">
        <v>121</v>
      </c>
    </row>
    <row r="57" spans="1:22" ht="48" customHeight="1">
      <c r="A57" s="11" t="s">
        <v>336</v>
      </c>
      <c r="B57" s="11" t="s">
        <v>145</v>
      </c>
      <c r="C57" s="12" t="s">
        <v>244</v>
      </c>
      <c r="D57" s="13" t="s">
        <v>21</v>
      </c>
      <c r="E57" s="14">
        <v>43435</v>
      </c>
      <c r="F57" s="12" t="s">
        <v>78</v>
      </c>
      <c r="G57" s="14">
        <v>43893</v>
      </c>
      <c r="H57" s="15">
        <v>39511.2</v>
      </c>
      <c r="I57" s="15">
        <v>36396.4</v>
      </c>
      <c r="J57" s="15">
        <v>7764.8</v>
      </c>
      <c r="K57" s="15">
        <v>0</v>
      </c>
      <c r="L57" s="15">
        <v>0</v>
      </c>
      <c r="M57" s="15">
        <v>0</v>
      </c>
      <c r="N57" s="15">
        <v>0</v>
      </c>
      <c r="O57" s="77">
        <v>0</v>
      </c>
      <c r="P57" s="15">
        <v>0</v>
      </c>
      <c r="Q57" s="15">
        <v>0</v>
      </c>
      <c r="R57" s="15"/>
      <c r="S57" s="15">
        <v>0</v>
      </c>
      <c r="T57" s="16">
        <f t="shared" si="4"/>
        <v>83672.40000000001</v>
      </c>
      <c r="U57" s="17" t="s">
        <v>307</v>
      </c>
      <c r="V57" s="13" t="s">
        <v>121</v>
      </c>
    </row>
    <row r="58" spans="1:22" ht="30" customHeight="1">
      <c r="A58" s="11" t="s">
        <v>143</v>
      </c>
      <c r="B58" s="11" t="s">
        <v>145</v>
      </c>
      <c r="C58" s="12" t="s">
        <v>245</v>
      </c>
      <c r="D58" s="13" t="s">
        <v>164</v>
      </c>
      <c r="E58" s="14">
        <v>43435</v>
      </c>
      <c r="F58" s="12" t="s">
        <v>162</v>
      </c>
      <c r="G58" s="14">
        <v>44868</v>
      </c>
      <c r="H58" s="15">
        <v>3150</v>
      </c>
      <c r="I58" s="15">
        <v>3255</v>
      </c>
      <c r="J58" s="15">
        <v>3115</v>
      </c>
      <c r="K58" s="15">
        <v>2730</v>
      </c>
      <c r="L58" s="15">
        <v>3570</v>
      </c>
      <c r="M58" s="15">
        <v>1995</v>
      </c>
      <c r="N58" s="15">
        <v>2660</v>
      </c>
      <c r="O58" s="77">
        <v>2870</v>
      </c>
      <c r="P58" s="15">
        <v>2660</v>
      </c>
      <c r="Q58" s="15">
        <v>2905</v>
      </c>
      <c r="R58" s="15">
        <v>2555</v>
      </c>
      <c r="S58" s="15">
        <v>2555</v>
      </c>
      <c r="T58" s="16">
        <f t="shared" si="4"/>
        <v>34020</v>
      </c>
      <c r="U58" s="17" t="s">
        <v>307</v>
      </c>
      <c r="V58" s="13" t="s">
        <v>121</v>
      </c>
    </row>
    <row r="59" spans="1:22" ht="30" customHeight="1">
      <c r="A59" s="11" t="s">
        <v>143</v>
      </c>
      <c r="B59" s="11" t="s">
        <v>145</v>
      </c>
      <c r="C59" s="12" t="s">
        <v>369</v>
      </c>
      <c r="D59" s="13" t="s">
        <v>441</v>
      </c>
      <c r="E59" s="14">
        <v>43962</v>
      </c>
      <c r="F59" s="12" t="s">
        <v>177</v>
      </c>
      <c r="G59" s="14">
        <v>44867</v>
      </c>
      <c r="H59" s="15">
        <v>15110</v>
      </c>
      <c r="I59" s="15">
        <v>10410</v>
      </c>
      <c r="J59" s="15">
        <v>7540</v>
      </c>
      <c r="K59" s="15">
        <v>7305</v>
      </c>
      <c r="L59" s="15">
        <v>6760</v>
      </c>
      <c r="M59" s="15">
        <v>7410</v>
      </c>
      <c r="N59" s="15">
        <v>7335</v>
      </c>
      <c r="O59" s="77">
        <v>6390</v>
      </c>
      <c r="P59" s="15">
        <v>7540</v>
      </c>
      <c r="Q59" s="15">
        <v>9247.5</v>
      </c>
      <c r="R59" s="15">
        <v>9140</v>
      </c>
      <c r="S59" s="15">
        <v>11435</v>
      </c>
      <c r="T59" s="16">
        <f t="shared" si="4"/>
        <v>105622.5</v>
      </c>
      <c r="U59" s="17" t="s">
        <v>307</v>
      </c>
      <c r="V59" s="13" t="s">
        <v>121</v>
      </c>
    </row>
    <row r="60" spans="1:22" ht="30" customHeight="1">
      <c r="A60" s="11" t="s">
        <v>143</v>
      </c>
      <c r="B60" s="11" t="s">
        <v>145</v>
      </c>
      <c r="C60" s="12" t="s">
        <v>246</v>
      </c>
      <c r="D60" s="13" t="s">
        <v>50</v>
      </c>
      <c r="E60" s="14">
        <v>43435</v>
      </c>
      <c r="F60" s="12" t="s">
        <v>79</v>
      </c>
      <c r="G60" s="14">
        <v>44870</v>
      </c>
      <c r="H60" s="15">
        <f>8560+9860</f>
        <v>18420</v>
      </c>
      <c r="I60" s="15">
        <f>7182.5+7832.5</f>
        <v>15015</v>
      </c>
      <c r="J60" s="15">
        <f>8727.5+8495</f>
        <v>17222.5</v>
      </c>
      <c r="K60" s="15">
        <f>7600+7840</f>
        <v>15440</v>
      </c>
      <c r="L60" s="15">
        <f>8262.5+8787.5</f>
        <v>17050</v>
      </c>
      <c r="M60" s="15">
        <f>8040+7290</f>
        <v>15330</v>
      </c>
      <c r="N60" s="15">
        <f>8630+9015</f>
        <v>17645</v>
      </c>
      <c r="O60" s="77">
        <f>9055+9047.5</f>
        <v>18102.5</v>
      </c>
      <c r="P60" s="15">
        <f>7797.5+7472.5</f>
        <v>15270</v>
      </c>
      <c r="Q60" s="15">
        <f>6822.5+8225</f>
        <v>15047.5</v>
      </c>
      <c r="R60" s="15">
        <f>9682.5+11040</f>
        <v>20722.5</v>
      </c>
      <c r="S60" s="15">
        <f>11110+10920</f>
        <v>22030</v>
      </c>
      <c r="T60" s="16">
        <f t="shared" si="4"/>
        <v>207295</v>
      </c>
      <c r="U60" s="17" t="s">
        <v>307</v>
      </c>
      <c r="V60" s="13" t="s">
        <v>121</v>
      </c>
    </row>
    <row r="61" spans="1:22" ht="30" customHeight="1">
      <c r="A61" s="11" t="s">
        <v>143</v>
      </c>
      <c r="B61" s="11" t="s">
        <v>145</v>
      </c>
      <c r="C61" s="12" t="s">
        <v>321</v>
      </c>
      <c r="D61" s="13" t="s">
        <v>322</v>
      </c>
      <c r="E61" s="14">
        <v>43832</v>
      </c>
      <c r="F61" s="12" t="s">
        <v>113</v>
      </c>
      <c r="G61" s="14">
        <v>44881</v>
      </c>
      <c r="H61" s="15">
        <v>2309.2</v>
      </c>
      <c r="I61" s="15">
        <v>2306.2</v>
      </c>
      <c r="J61" s="15">
        <v>2359.2</v>
      </c>
      <c r="K61" s="15">
        <v>3673.4</v>
      </c>
      <c r="L61" s="15">
        <v>6085.6</v>
      </c>
      <c r="M61" s="15">
        <v>6444.6</v>
      </c>
      <c r="N61" s="15">
        <v>5123.6</v>
      </c>
      <c r="O61" s="77">
        <v>3620.4</v>
      </c>
      <c r="P61" s="15">
        <v>4001.6</v>
      </c>
      <c r="Q61" s="15">
        <v>3473.4</v>
      </c>
      <c r="R61" s="15">
        <v>3706.9</v>
      </c>
      <c r="S61" s="15">
        <v>4690.6</v>
      </c>
      <c r="T61" s="16">
        <f t="shared" si="4"/>
        <v>47794.7</v>
      </c>
      <c r="U61" s="17" t="s">
        <v>307</v>
      </c>
      <c r="V61" s="13" t="s">
        <v>121</v>
      </c>
    </row>
    <row r="62" spans="1:22" ht="30" customHeight="1">
      <c r="A62" s="11" t="s">
        <v>336</v>
      </c>
      <c r="B62" s="11" t="s">
        <v>145</v>
      </c>
      <c r="C62" s="12" t="s">
        <v>271</v>
      </c>
      <c r="D62" s="13" t="s">
        <v>285</v>
      </c>
      <c r="E62" s="14">
        <v>43605</v>
      </c>
      <c r="F62" s="12" t="s">
        <v>286</v>
      </c>
      <c r="G62" s="14">
        <v>44502</v>
      </c>
      <c r="H62" s="15">
        <v>1405.2</v>
      </c>
      <c r="I62" s="15">
        <v>1405.21</v>
      </c>
      <c r="J62" s="15">
        <v>702.6</v>
      </c>
      <c r="K62" s="15">
        <v>1405.2</v>
      </c>
      <c r="L62" s="15">
        <v>1405.2</v>
      </c>
      <c r="M62" s="15">
        <v>1405.2</v>
      </c>
      <c r="N62" s="15">
        <v>1405.2</v>
      </c>
      <c r="O62" s="77">
        <v>0</v>
      </c>
      <c r="P62" s="15">
        <v>0</v>
      </c>
      <c r="Q62" s="15">
        <v>0</v>
      </c>
      <c r="R62" s="15"/>
      <c r="S62" s="15">
        <v>0</v>
      </c>
      <c r="T62" s="16">
        <f t="shared" si="4"/>
        <v>9133.81</v>
      </c>
      <c r="U62" s="17" t="s">
        <v>307</v>
      </c>
      <c r="V62" s="13" t="s">
        <v>121</v>
      </c>
    </row>
    <row r="63" spans="1:22" ht="46.5" customHeight="1">
      <c r="A63" s="11" t="s">
        <v>336</v>
      </c>
      <c r="B63" s="11" t="s">
        <v>145</v>
      </c>
      <c r="C63" s="12" t="s">
        <v>247</v>
      </c>
      <c r="D63" s="13" t="s">
        <v>98</v>
      </c>
      <c r="E63" s="14">
        <v>43435</v>
      </c>
      <c r="F63" s="12" t="s">
        <v>110</v>
      </c>
      <c r="G63" s="14">
        <v>44513</v>
      </c>
      <c r="H63" s="15">
        <f>12460+13528</f>
        <v>25988</v>
      </c>
      <c r="I63" s="15">
        <v>12816</v>
      </c>
      <c r="J63" s="15">
        <v>17088</v>
      </c>
      <c r="K63" s="15"/>
      <c r="L63" s="15">
        <v>16020</v>
      </c>
      <c r="M63" s="15">
        <v>14596</v>
      </c>
      <c r="N63" s="15">
        <v>14952</v>
      </c>
      <c r="O63" s="77">
        <v>14596</v>
      </c>
      <c r="P63" s="15">
        <v>0</v>
      </c>
      <c r="Q63" s="15">
        <v>0</v>
      </c>
      <c r="R63" s="15"/>
      <c r="S63" s="15">
        <v>0</v>
      </c>
      <c r="T63" s="16">
        <f t="shared" si="4"/>
        <v>116056</v>
      </c>
      <c r="U63" s="17" t="s">
        <v>307</v>
      </c>
      <c r="V63" s="13" t="s">
        <v>121</v>
      </c>
    </row>
    <row r="64" spans="1:22" ht="45" customHeight="1">
      <c r="A64" s="11" t="s">
        <v>336</v>
      </c>
      <c r="B64" s="11" t="s">
        <v>145</v>
      </c>
      <c r="C64" s="12" t="s">
        <v>248</v>
      </c>
      <c r="D64" s="13" t="s">
        <v>51</v>
      </c>
      <c r="E64" s="14">
        <v>43435</v>
      </c>
      <c r="F64" s="12" t="s">
        <v>80</v>
      </c>
      <c r="G64" s="14">
        <v>44316</v>
      </c>
      <c r="H64" s="15">
        <v>1260</v>
      </c>
      <c r="I64" s="15">
        <v>1020</v>
      </c>
      <c r="J64" s="15">
        <v>480</v>
      </c>
      <c r="K64" s="15">
        <v>600</v>
      </c>
      <c r="L64" s="15"/>
      <c r="M64" s="15">
        <v>0</v>
      </c>
      <c r="N64" s="15">
        <v>0</v>
      </c>
      <c r="O64" s="77">
        <v>0</v>
      </c>
      <c r="P64" s="15">
        <v>0</v>
      </c>
      <c r="Q64" s="15">
        <v>0</v>
      </c>
      <c r="R64" s="15"/>
      <c r="S64" s="15">
        <v>0</v>
      </c>
      <c r="T64" s="16">
        <f t="shared" si="4"/>
        <v>3360</v>
      </c>
      <c r="U64" s="17" t="s">
        <v>307</v>
      </c>
      <c r="V64" s="13" t="s">
        <v>121</v>
      </c>
    </row>
    <row r="65" spans="1:22" ht="30" customHeight="1">
      <c r="A65" s="11" t="s">
        <v>143</v>
      </c>
      <c r="B65" s="11" t="s">
        <v>145</v>
      </c>
      <c r="C65" s="12" t="s">
        <v>249</v>
      </c>
      <c r="D65" s="13" t="s">
        <v>165</v>
      </c>
      <c r="E65" s="14">
        <v>43435</v>
      </c>
      <c r="F65" s="18" t="s">
        <v>162</v>
      </c>
      <c r="G65" s="14">
        <v>44868</v>
      </c>
      <c r="H65" s="15">
        <v>5715</v>
      </c>
      <c r="I65" s="15">
        <v>6410</v>
      </c>
      <c r="J65" s="15">
        <v>6605</v>
      </c>
      <c r="K65" s="15">
        <v>5515</v>
      </c>
      <c r="L65" s="15">
        <v>6300</v>
      </c>
      <c r="M65" s="15">
        <v>6195</v>
      </c>
      <c r="N65" s="15">
        <v>5250</v>
      </c>
      <c r="O65" s="77">
        <v>5480</v>
      </c>
      <c r="P65" s="15">
        <v>5445</v>
      </c>
      <c r="Q65" s="15">
        <v>4900</v>
      </c>
      <c r="R65" s="15">
        <v>5130</v>
      </c>
      <c r="S65" s="15">
        <v>2885</v>
      </c>
      <c r="T65" s="16">
        <f t="shared" si="4"/>
        <v>65830</v>
      </c>
      <c r="U65" s="17" t="s">
        <v>307</v>
      </c>
      <c r="V65" s="13" t="s">
        <v>121</v>
      </c>
    </row>
    <row r="66" spans="1:22" ht="30" customHeight="1">
      <c r="A66" s="11" t="s">
        <v>143</v>
      </c>
      <c r="B66" s="11" t="s">
        <v>145</v>
      </c>
      <c r="C66" s="12" t="s">
        <v>250</v>
      </c>
      <c r="D66" s="13" t="s">
        <v>52</v>
      </c>
      <c r="E66" s="14">
        <v>43435</v>
      </c>
      <c r="F66" s="12" t="s">
        <v>72</v>
      </c>
      <c r="G66" s="14">
        <v>44880</v>
      </c>
      <c r="H66" s="15">
        <v>12018.4</v>
      </c>
      <c r="I66" s="15">
        <v>9503.4</v>
      </c>
      <c r="J66" s="15">
        <v>8323.6</v>
      </c>
      <c r="K66" s="15">
        <v>9928.8</v>
      </c>
      <c r="L66" s="15">
        <v>13913.6</v>
      </c>
      <c r="M66" s="15">
        <v>11443.8</v>
      </c>
      <c r="N66" s="15">
        <v>12318.8</v>
      </c>
      <c r="O66" s="77">
        <v>8798.6</v>
      </c>
      <c r="P66" s="15">
        <v>3984.4</v>
      </c>
      <c r="Q66" s="15">
        <v>3934.4</v>
      </c>
      <c r="R66" s="15">
        <v>3984.4</v>
      </c>
      <c r="S66" s="15">
        <v>3984.4</v>
      </c>
      <c r="T66" s="16">
        <f t="shared" si="4"/>
        <v>102136.59999999998</v>
      </c>
      <c r="U66" s="17" t="s">
        <v>307</v>
      </c>
      <c r="V66" s="13" t="s">
        <v>121</v>
      </c>
    </row>
    <row r="67" spans="1:22" ht="30" customHeight="1">
      <c r="A67" s="11" t="s">
        <v>143</v>
      </c>
      <c r="B67" s="11" t="s">
        <v>145</v>
      </c>
      <c r="C67" s="12" t="s">
        <v>251</v>
      </c>
      <c r="D67" s="13" t="s">
        <v>99</v>
      </c>
      <c r="E67" s="14">
        <v>43435</v>
      </c>
      <c r="F67" s="12" t="s">
        <v>112</v>
      </c>
      <c r="G67" s="14">
        <v>44880</v>
      </c>
      <c r="H67" s="15">
        <v>0</v>
      </c>
      <c r="I67" s="15">
        <v>0</v>
      </c>
      <c r="J67" s="15">
        <v>0</v>
      </c>
      <c r="K67" s="15">
        <v>2424.4</v>
      </c>
      <c r="L67" s="15">
        <v>2424.4</v>
      </c>
      <c r="M67" s="15">
        <v>2094.4</v>
      </c>
      <c r="N67" s="15">
        <v>3306.6</v>
      </c>
      <c r="O67" s="77">
        <v>3526.6</v>
      </c>
      <c r="P67" s="15">
        <v>3526.6</v>
      </c>
      <c r="Q67" s="15">
        <v>2094.4</v>
      </c>
      <c r="R67" s="15">
        <v>1907.4</v>
      </c>
      <c r="S67" s="15">
        <v>2644.4</v>
      </c>
      <c r="T67" s="16">
        <f t="shared" si="4"/>
        <v>23949.200000000004</v>
      </c>
      <c r="U67" s="17" t="s">
        <v>307</v>
      </c>
      <c r="V67" s="13" t="s">
        <v>121</v>
      </c>
    </row>
    <row r="68" spans="1:22" ht="30" customHeight="1">
      <c r="A68" s="11" t="s">
        <v>143</v>
      </c>
      <c r="B68" s="11" t="s">
        <v>145</v>
      </c>
      <c r="C68" s="12" t="s">
        <v>252</v>
      </c>
      <c r="D68" s="23" t="s">
        <v>149</v>
      </c>
      <c r="E68" s="14">
        <v>43435</v>
      </c>
      <c r="F68" s="12" t="s">
        <v>150</v>
      </c>
      <c r="G68" s="14">
        <v>44867</v>
      </c>
      <c r="H68" s="15">
        <v>1410</v>
      </c>
      <c r="I68" s="15">
        <v>1362.5</v>
      </c>
      <c r="J68" s="15">
        <v>2070</v>
      </c>
      <c r="K68" s="15">
        <v>1802.5</v>
      </c>
      <c r="L68" s="15">
        <v>1820</v>
      </c>
      <c r="M68" s="15">
        <v>1995</v>
      </c>
      <c r="N68" s="15">
        <v>1880</v>
      </c>
      <c r="O68" s="77">
        <v>2010</v>
      </c>
      <c r="P68" s="15">
        <v>1805</v>
      </c>
      <c r="Q68" s="15">
        <v>1540</v>
      </c>
      <c r="R68" s="15">
        <v>1805</v>
      </c>
      <c r="S68" s="15">
        <v>660</v>
      </c>
      <c r="T68" s="16">
        <f t="shared" si="4"/>
        <v>20160</v>
      </c>
      <c r="U68" s="17" t="s">
        <v>307</v>
      </c>
      <c r="V68" s="23" t="s">
        <v>121</v>
      </c>
    </row>
    <row r="69" spans="1:22" ht="51" customHeight="1">
      <c r="A69" s="11" t="s">
        <v>143</v>
      </c>
      <c r="B69" s="11" t="s">
        <v>145</v>
      </c>
      <c r="C69" s="12" t="s">
        <v>253</v>
      </c>
      <c r="D69" s="13" t="s">
        <v>53</v>
      </c>
      <c r="E69" s="14">
        <v>43435</v>
      </c>
      <c r="F69" s="12" t="s">
        <v>69</v>
      </c>
      <c r="G69" s="14">
        <v>44868</v>
      </c>
      <c r="H69" s="15">
        <v>5670</v>
      </c>
      <c r="I69" s="15">
        <v>8760</v>
      </c>
      <c r="J69" s="15">
        <v>4580</v>
      </c>
      <c r="K69" s="15">
        <v>6200</v>
      </c>
      <c r="L69" s="15">
        <v>6510</v>
      </c>
      <c r="M69" s="15">
        <v>6110</v>
      </c>
      <c r="N69" s="15">
        <v>6480</v>
      </c>
      <c r="O69" s="77">
        <v>5230</v>
      </c>
      <c r="P69" s="15">
        <v>4350</v>
      </c>
      <c r="Q69" s="15">
        <v>4560</v>
      </c>
      <c r="R69" s="15">
        <v>4650</v>
      </c>
      <c r="S69" s="15">
        <v>4210</v>
      </c>
      <c r="T69" s="16">
        <f t="shared" si="4"/>
        <v>67310</v>
      </c>
      <c r="U69" s="17" t="s">
        <v>307</v>
      </c>
      <c r="V69" s="13" t="s">
        <v>121</v>
      </c>
    </row>
    <row r="70" spans="1:22" ht="58.5" customHeight="1">
      <c r="A70" s="11" t="s">
        <v>336</v>
      </c>
      <c r="B70" s="11" t="s">
        <v>145</v>
      </c>
      <c r="C70" s="12" t="s">
        <v>254</v>
      </c>
      <c r="D70" s="13" t="s">
        <v>54</v>
      </c>
      <c r="E70" s="14">
        <v>43435</v>
      </c>
      <c r="F70" s="12" t="s">
        <v>69</v>
      </c>
      <c r="G70" s="14">
        <v>44228</v>
      </c>
      <c r="H70" s="15">
        <v>5950</v>
      </c>
      <c r="I70" s="15">
        <v>0</v>
      </c>
      <c r="J70" s="15">
        <v>0</v>
      </c>
      <c r="K70" s="15">
        <v>0</v>
      </c>
      <c r="L70" s="15"/>
      <c r="M70" s="15">
        <v>0</v>
      </c>
      <c r="N70" s="15">
        <v>0</v>
      </c>
      <c r="O70" s="77">
        <v>0</v>
      </c>
      <c r="P70" s="15">
        <v>0</v>
      </c>
      <c r="Q70" s="15"/>
      <c r="R70" s="15"/>
      <c r="S70" s="15">
        <v>0</v>
      </c>
      <c r="T70" s="16">
        <f t="shared" si="4"/>
        <v>5950</v>
      </c>
      <c r="U70" s="17" t="s">
        <v>307</v>
      </c>
      <c r="V70" s="13" t="s">
        <v>121</v>
      </c>
    </row>
    <row r="71" spans="1:22" ht="30" customHeight="1">
      <c r="A71" s="11" t="s">
        <v>143</v>
      </c>
      <c r="B71" s="11" t="s">
        <v>145</v>
      </c>
      <c r="C71" s="12" t="s">
        <v>255</v>
      </c>
      <c r="D71" s="13" t="s">
        <v>55</v>
      </c>
      <c r="E71" s="14">
        <v>43435</v>
      </c>
      <c r="F71" s="12" t="s">
        <v>81</v>
      </c>
      <c r="G71" s="14">
        <v>44895</v>
      </c>
      <c r="H71" s="15">
        <v>20572.74</v>
      </c>
      <c r="I71" s="15">
        <v>19739.75</v>
      </c>
      <c r="J71" s="15">
        <v>17737.08</v>
      </c>
      <c r="K71" s="15">
        <v>14217.9</v>
      </c>
      <c r="L71" s="15">
        <v>22867.91</v>
      </c>
      <c r="M71" s="15">
        <v>22230.72</v>
      </c>
      <c r="N71" s="15">
        <v>18306.8</v>
      </c>
      <c r="O71" s="77">
        <v>20257.22</v>
      </c>
      <c r="P71" s="15">
        <v>16580.34</v>
      </c>
      <c r="Q71" s="15">
        <v>17935.71</v>
      </c>
      <c r="R71" s="15">
        <v>19746.25</v>
      </c>
      <c r="S71" s="15">
        <v>29763.24</v>
      </c>
      <c r="T71" s="16">
        <f t="shared" si="4"/>
        <v>239955.65999999997</v>
      </c>
      <c r="U71" s="17" t="s">
        <v>307</v>
      </c>
      <c r="V71" s="13" t="s">
        <v>121</v>
      </c>
    </row>
    <row r="72" spans="1:22" ht="30" customHeight="1">
      <c r="A72" s="11" t="s">
        <v>143</v>
      </c>
      <c r="B72" s="11" t="s">
        <v>145</v>
      </c>
      <c r="C72" s="12" t="s">
        <v>256</v>
      </c>
      <c r="D72" s="13" t="s">
        <v>159</v>
      </c>
      <c r="E72" s="14">
        <v>43435</v>
      </c>
      <c r="F72" s="12" t="s">
        <v>76</v>
      </c>
      <c r="G72" s="14">
        <v>44868</v>
      </c>
      <c r="H72" s="15">
        <v>4485</v>
      </c>
      <c r="I72" s="15">
        <v>3560</v>
      </c>
      <c r="J72" s="15">
        <v>4542.5</v>
      </c>
      <c r="K72" s="15">
        <v>4030</v>
      </c>
      <c r="L72" s="15">
        <v>4385</v>
      </c>
      <c r="M72" s="15">
        <v>4997.5</v>
      </c>
      <c r="N72" s="15">
        <v>4085</v>
      </c>
      <c r="O72" s="77">
        <v>5325</v>
      </c>
      <c r="P72" s="15">
        <v>3162.5</v>
      </c>
      <c r="Q72" s="15">
        <v>4462.5</v>
      </c>
      <c r="R72" s="15">
        <v>4885</v>
      </c>
      <c r="S72" s="15">
        <v>4317.5</v>
      </c>
      <c r="T72" s="16">
        <f t="shared" si="4"/>
        <v>52237.5</v>
      </c>
      <c r="U72" s="17" t="s">
        <v>307</v>
      </c>
      <c r="V72" s="13" t="s">
        <v>121</v>
      </c>
    </row>
    <row r="73" spans="1:22" ht="30" customHeight="1">
      <c r="A73" s="11" t="s">
        <v>143</v>
      </c>
      <c r="B73" s="11" t="s">
        <v>145</v>
      </c>
      <c r="C73" s="12" t="s">
        <v>257</v>
      </c>
      <c r="D73" s="13" t="s">
        <v>128</v>
      </c>
      <c r="E73" s="14">
        <v>43435</v>
      </c>
      <c r="F73" s="12" t="s">
        <v>138</v>
      </c>
      <c r="G73" s="14">
        <v>44871</v>
      </c>
      <c r="H73" s="15">
        <v>4423</v>
      </c>
      <c r="I73" s="15">
        <v>2972</v>
      </c>
      <c r="J73" s="15">
        <v>2017</v>
      </c>
      <c r="K73" s="15">
        <v>2057</v>
      </c>
      <c r="L73" s="15">
        <v>3077</v>
      </c>
      <c r="M73" s="15">
        <v>1987</v>
      </c>
      <c r="N73" s="15">
        <v>2908</v>
      </c>
      <c r="O73" s="77">
        <v>2302</v>
      </c>
      <c r="P73" s="15">
        <v>0</v>
      </c>
      <c r="Q73" s="15">
        <v>1862</v>
      </c>
      <c r="R73" s="15">
        <v>3438</v>
      </c>
      <c r="S73" s="15">
        <v>3903</v>
      </c>
      <c r="T73" s="16">
        <f t="shared" si="4"/>
        <v>30946</v>
      </c>
      <c r="U73" s="17" t="s">
        <v>307</v>
      </c>
      <c r="V73" s="13" t="s">
        <v>121</v>
      </c>
    </row>
    <row r="74" spans="1:22" ht="49.5" customHeight="1">
      <c r="A74" s="11" t="s">
        <v>143</v>
      </c>
      <c r="B74" s="11" t="s">
        <v>145</v>
      </c>
      <c r="C74" s="12" t="s">
        <v>258</v>
      </c>
      <c r="D74" s="13" t="s">
        <v>56</v>
      </c>
      <c r="E74" s="14">
        <v>43435</v>
      </c>
      <c r="F74" s="12" t="s">
        <v>83</v>
      </c>
      <c r="G74" s="14">
        <v>44870</v>
      </c>
      <c r="H74" s="15">
        <v>4770</v>
      </c>
      <c r="I74" s="15">
        <v>5047.5</v>
      </c>
      <c r="J74" s="15">
        <v>6170</v>
      </c>
      <c r="K74" s="15">
        <v>6020</v>
      </c>
      <c r="L74" s="15">
        <v>6470</v>
      </c>
      <c r="M74" s="15">
        <v>6420</v>
      </c>
      <c r="N74" s="15">
        <v>6620</v>
      </c>
      <c r="O74" s="77">
        <v>6320</v>
      </c>
      <c r="P74" s="15">
        <v>5970</v>
      </c>
      <c r="Q74" s="15">
        <v>5920</v>
      </c>
      <c r="R74" s="15">
        <v>5430</v>
      </c>
      <c r="S74" s="15">
        <v>5170</v>
      </c>
      <c r="T74" s="16">
        <f t="shared" si="4"/>
        <v>70327.5</v>
      </c>
      <c r="U74" s="17" t="s">
        <v>307</v>
      </c>
      <c r="V74" s="13" t="s">
        <v>121</v>
      </c>
    </row>
    <row r="75" spans="1:22" ht="64.5" customHeight="1">
      <c r="A75" s="11" t="s">
        <v>143</v>
      </c>
      <c r="B75" s="11" t="s">
        <v>145</v>
      </c>
      <c r="C75" s="12" t="s">
        <v>259</v>
      </c>
      <c r="D75" s="23" t="s">
        <v>58</v>
      </c>
      <c r="E75" s="14">
        <v>43435</v>
      </c>
      <c r="F75" s="12" t="s">
        <v>152</v>
      </c>
      <c r="G75" s="14">
        <v>44868</v>
      </c>
      <c r="H75" s="15">
        <v>4529.5</v>
      </c>
      <c r="I75" s="15">
        <v>4504.5</v>
      </c>
      <c r="J75" s="15">
        <v>4647.5</v>
      </c>
      <c r="K75" s="15">
        <v>3467.75</v>
      </c>
      <c r="L75" s="15">
        <v>4147</v>
      </c>
      <c r="M75" s="15">
        <v>5244.5</v>
      </c>
      <c r="N75" s="15">
        <v>4100.5</v>
      </c>
      <c r="O75" s="77">
        <v>4504.5</v>
      </c>
      <c r="P75" s="15">
        <v>5148</v>
      </c>
      <c r="Q75" s="15">
        <f>4540.25</f>
        <v>4540.25</v>
      </c>
      <c r="R75" s="15">
        <v>2574</v>
      </c>
      <c r="S75" s="15">
        <v>5219.5</v>
      </c>
      <c r="T75" s="16">
        <f t="shared" si="4"/>
        <v>52627.5</v>
      </c>
      <c r="U75" s="17" t="s">
        <v>307</v>
      </c>
      <c r="V75" s="23" t="s">
        <v>121</v>
      </c>
    </row>
    <row r="76" spans="1:22" s="52" customFormat="1" ht="30" customHeight="1">
      <c r="A76" s="11" t="s">
        <v>143</v>
      </c>
      <c r="B76" s="11" t="s">
        <v>145</v>
      </c>
      <c r="C76" s="12" t="s">
        <v>420</v>
      </c>
      <c r="D76" s="23" t="s">
        <v>423</v>
      </c>
      <c r="E76" s="14">
        <v>44136</v>
      </c>
      <c r="F76" s="12" t="s">
        <v>325</v>
      </c>
      <c r="G76" s="14">
        <v>44866</v>
      </c>
      <c r="H76" s="15">
        <v>1344.6</v>
      </c>
      <c r="I76" s="15">
        <v>644.8</v>
      </c>
      <c r="J76" s="15">
        <v>5803.2</v>
      </c>
      <c r="K76" s="15">
        <v>5158.4</v>
      </c>
      <c r="L76" s="15">
        <v>5158.4</v>
      </c>
      <c r="M76" s="15">
        <v>5158.4</v>
      </c>
      <c r="N76" s="15">
        <v>5803.2</v>
      </c>
      <c r="O76" s="77">
        <v>5158.4</v>
      </c>
      <c r="P76" s="15">
        <v>3224</v>
      </c>
      <c r="Q76" s="15">
        <v>5158.4</v>
      </c>
      <c r="R76" s="15">
        <v>6505.9</v>
      </c>
      <c r="S76" s="15">
        <v>5173.6</v>
      </c>
      <c r="T76" s="16">
        <f t="shared" si="4"/>
        <v>54291.3</v>
      </c>
      <c r="U76" s="17" t="s">
        <v>307</v>
      </c>
      <c r="V76" s="23" t="s">
        <v>121</v>
      </c>
    </row>
    <row r="77" spans="1:22" s="52" customFormat="1" ht="48" customHeight="1">
      <c r="A77" s="11" t="s">
        <v>143</v>
      </c>
      <c r="B77" s="11" t="s">
        <v>145</v>
      </c>
      <c r="C77" s="12" t="s">
        <v>429</v>
      </c>
      <c r="D77" s="23" t="s">
        <v>433</v>
      </c>
      <c r="E77" s="14">
        <v>44510</v>
      </c>
      <c r="F77" s="12" t="s">
        <v>78</v>
      </c>
      <c r="G77" s="14">
        <v>44874</v>
      </c>
      <c r="H77" s="15">
        <v>0</v>
      </c>
      <c r="I77" s="15">
        <v>0</v>
      </c>
      <c r="J77" s="15">
        <v>19102.83</v>
      </c>
      <c r="K77" s="15">
        <v>15658.08</v>
      </c>
      <c r="L77" s="15">
        <v>19848</v>
      </c>
      <c r="M77" s="15">
        <v>25867</v>
      </c>
      <c r="N77" s="15">
        <v>21458</v>
      </c>
      <c r="O77" s="77">
        <v>24783</v>
      </c>
      <c r="P77" s="15">
        <v>25389</v>
      </c>
      <c r="Q77" s="15">
        <v>23379</v>
      </c>
      <c r="R77" s="15">
        <v>22633</v>
      </c>
      <c r="S77" s="15">
        <v>23438</v>
      </c>
      <c r="T77" s="16">
        <f t="shared" si="4"/>
        <v>221555.91</v>
      </c>
      <c r="U77" s="17" t="s">
        <v>307</v>
      </c>
      <c r="V77" s="23" t="s">
        <v>121</v>
      </c>
    </row>
    <row r="78" spans="1:22" ht="30" customHeight="1">
      <c r="A78" s="11" t="s">
        <v>143</v>
      </c>
      <c r="B78" s="11" t="s">
        <v>145</v>
      </c>
      <c r="C78" s="12" t="s">
        <v>260</v>
      </c>
      <c r="D78" s="13" t="s">
        <v>126</v>
      </c>
      <c r="E78" s="14">
        <v>43435</v>
      </c>
      <c r="F78" s="12" t="s">
        <v>112</v>
      </c>
      <c r="G78" s="14">
        <v>44881</v>
      </c>
      <c r="H78" s="15">
        <v>2582.4</v>
      </c>
      <c r="I78" s="15">
        <v>2603.6</v>
      </c>
      <c r="J78" s="15">
        <v>1503.6</v>
      </c>
      <c r="K78" s="15">
        <v>2692.4</v>
      </c>
      <c r="L78" s="15">
        <v>1503.6</v>
      </c>
      <c r="M78" s="15">
        <v>1503.6</v>
      </c>
      <c r="N78" s="15">
        <v>1503.6</v>
      </c>
      <c r="O78" s="77">
        <v>1371.6</v>
      </c>
      <c r="P78" s="15">
        <v>1503.6</v>
      </c>
      <c r="Q78" s="15">
        <v>1503.55</v>
      </c>
      <c r="R78" s="15">
        <v>1503.6</v>
      </c>
      <c r="S78" s="15">
        <v>5201.2</v>
      </c>
      <c r="T78" s="16">
        <f t="shared" si="4"/>
        <v>24976.35</v>
      </c>
      <c r="U78" s="17" t="s">
        <v>307</v>
      </c>
      <c r="V78" s="13" t="s">
        <v>121</v>
      </c>
    </row>
    <row r="79" spans="1:22" ht="30" customHeight="1">
      <c r="A79" s="11" t="s">
        <v>143</v>
      </c>
      <c r="B79" s="11" t="s">
        <v>145</v>
      </c>
      <c r="C79" s="12" t="s">
        <v>261</v>
      </c>
      <c r="D79" s="13" t="s">
        <v>106</v>
      </c>
      <c r="E79" s="14">
        <v>43435</v>
      </c>
      <c r="F79" s="12" t="s">
        <v>135</v>
      </c>
      <c r="G79" s="14">
        <v>44880</v>
      </c>
      <c r="H79" s="15">
        <v>660</v>
      </c>
      <c r="I79" s="15">
        <v>366.67</v>
      </c>
      <c r="J79" s="15">
        <v>660</v>
      </c>
      <c r="K79" s="15">
        <v>660</v>
      </c>
      <c r="L79" s="15">
        <v>550</v>
      </c>
      <c r="M79" s="15">
        <v>586.67</v>
      </c>
      <c r="N79" s="15">
        <v>660</v>
      </c>
      <c r="O79" s="77">
        <v>440</v>
      </c>
      <c r="P79" s="15">
        <v>660</v>
      </c>
      <c r="Q79" s="15">
        <v>440</v>
      </c>
      <c r="R79" s="15">
        <v>550</v>
      </c>
      <c r="S79" s="15">
        <v>550</v>
      </c>
      <c r="T79" s="16">
        <f t="shared" si="4"/>
        <v>6783.34</v>
      </c>
      <c r="U79" s="17" t="s">
        <v>307</v>
      </c>
      <c r="V79" s="13" t="s">
        <v>121</v>
      </c>
    </row>
    <row r="80" spans="1:22" ht="30" customHeight="1">
      <c r="A80" s="11" t="s">
        <v>336</v>
      </c>
      <c r="B80" s="11" t="s">
        <v>145</v>
      </c>
      <c r="C80" s="12" t="s">
        <v>323</v>
      </c>
      <c r="D80" s="13" t="s">
        <v>324</v>
      </c>
      <c r="E80" s="14">
        <v>43836</v>
      </c>
      <c r="F80" s="12" t="s">
        <v>325</v>
      </c>
      <c r="G80" s="14">
        <v>44502</v>
      </c>
      <c r="H80" s="15">
        <v>653.8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77">
        <v>0</v>
      </c>
      <c r="P80" s="15">
        <v>0</v>
      </c>
      <c r="Q80" s="15"/>
      <c r="R80" s="15"/>
      <c r="S80" s="15">
        <v>0</v>
      </c>
      <c r="T80" s="16">
        <f t="shared" si="4"/>
        <v>653.8</v>
      </c>
      <c r="U80" s="17" t="s">
        <v>307</v>
      </c>
      <c r="V80" s="13" t="s">
        <v>121</v>
      </c>
    </row>
    <row r="81" spans="1:22" ht="30" customHeight="1">
      <c r="A81" s="11" t="s">
        <v>143</v>
      </c>
      <c r="B81" s="11" t="s">
        <v>145</v>
      </c>
      <c r="C81" s="12" t="s">
        <v>262</v>
      </c>
      <c r="D81" s="13" t="s">
        <v>147</v>
      </c>
      <c r="E81" s="14">
        <v>43435</v>
      </c>
      <c r="F81" s="12" t="s">
        <v>148</v>
      </c>
      <c r="G81" s="14">
        <v>44879</v>
      </c>
      <c r="H81" s="15">
        <f>5292+6313.73</f>
        <v>11605.73</v>
      </c>
      <c r="I81" s="15">
        <f>7041.3+10295.59</f>
        <v>17336.89</v>
      </c>
      <c r="J81" s="15">
        <f>2845.2+8247.19</f>
        <v>11092.39</v>
      </c>
      <c r="K81" s="15">
        <f>7642.19+6218.8</f>
        <v>13860.99</v>
      </c>
      <c r="L81" s="15">
        <f>6574.7+7587.19</f>
        <v>14161.89</v>
      </c>
      <c r="M81" s="15">
        <f>6735.39+6180.4</f>
        <v>12915.79</v>
      </c>
      <c r="N81" s="15">
        <f>6696.3+7628.79</f>
        <v>14325.09</v>
      </c>
      <c r="O81" s="77">
        <f>6787.2+8027.19</f>
        <v>14814.39</v>
      </c>
      <c r="P81" s="15">
        <f>7917.19+6598.8</f>
        <v>14515.99</v>
      </c>
      <c r="Q81" s="15">
        <f>5360.4+6130.4</f>
        <v>11490.8</v>
      </c>
      <c r="R81" s="15">
        <f>6492.83+5184.51</f>
        <v>11677.34</v>
      </c>
      <c r="S81" s="15">
        <f>7917.89+5660.4</f>
        <v>13578.29</v>
      </c>
      <c r="T81" s="16">
        <f t="shared" si="4"/>
        <v>161375.58</v>
      </c>
      <c r="U81" s="17" t="s">
        <v>307</v>
      </c>
      <c r="V81" s="13" t="s">
        <v>121</v>
      </c>
    </row>
    <row r="82" spans="1:22" ht="64.5" customHeight="1">
      <c r="A82" s="11" t="s">
        <v>143</v>
      </c>
      <c r="B82" s="11" t="s">
        <v>145</v>
      </c>
      <c r="C82" s="12" t="s">
        <v>293</v>
      </c>
      <c r="D82" s="13" t="s">
        <v>299</v>
      </c>
      <c r="E82" s="14">
        <v>43802</v>
      </c>
      <c r="F82" s="12" t="s">
        <v>152</v>
      </c>
      <c r="G82" s="14">
        <v>44869</v>
      </c>
      <c r="H82" s="15">
        <v>74125.6</v>
      </c>
      <c r="I82" s="15">
        <v>75655.35</v>
      </c>
      <c r="J82" s="15">
        <v>82174.02</v>
      </c>
      <c r="K82" s="15">
        <v>81265.62</v>
      </c>
      <c r="L82" s="15">
        <v>85069</v>
      </c>
      <c r="M82" s="15">
        <v>82410.47</v>
      </c>
      <c r="N82" s="15">
        <v>80203.61</v>
      </c>
      <c r="O82" s="77">
        <v>78842.81</v>
      </c>
      <c r="P82" s="15">
        <v>83023.12</v>
      </c>
      <c r="Q82" s="15">
        <v>75119.58</v>
      </c>
      <c r="R82" s="15">
        <v>78213.63</v>
      </c>
      <c r="S82" s="15">
        <v>77758.88</v>
      </c>
      <c r="T82" s="16">
        <f t="shared" si="4"/>
        <v>953861.69</v>
      </c>
      <c r="U82" s="17" t="s">
        <v>307</v>
      </c>
      <c r="V82" s="13" t="s">
        <v>121</v>
      </c>
    </row>
    <row r="83" spans="1:22" ht="30" customHeight="1">
      <c r="A83" s="11" t="s">
        <v>143</v>
      </c>
      <c r="B83" s="11" t="s">
        <v>145</v>
      </c>
      <c r="C83" s="12" t="s">
        <v>211</v>
      </c>
      <c r="D83" s="13" t="s">
        <v>219</v>
      </c>
      <c r="E83" s="14">
        <v>43497</v>
      </c>
      <c r="F83" s="12" t="s">
        <v>220</v>
      </c>
      <c r="G83" s="14">
        <v>44880</v>
      </c>
      <c r="H83" s="15">
        <v>1045</v>
      </c>
      <c r="I83" s="15">
        <v>990</v>
      </c>
      <c r="J83" s="15">
        <v>1320</v>
      </c>
      <c r="K83" s="15">
        <v>660</v>
      </c>
      <c r="L83" s="15">
        <v>1512.5</v>
      </c>
      <c r="M83" s="15">
        <v>1045</v>
      </c>
      <c r="N83" s="15">
        <v>1320</v>
      </c>
      <c r="O83" s="77">
        <v>1347.5</v>
      </c>
      <c r="P83" s="15">
        <v>1347.5</v>
      </c>
      <c r="Q83" s="15">
        <v>1320</v>
      </c>
      <c r="R83" s="15">
        <v>990</v>
      </c>
      <c r="S83" s="15">
        <v>1072.5</v>
      </c>
      <c r="T83" s="16">
        <f t="shared" si="4"/>
        <v>13970</v>
      </c>
      <c r="U83" s="17" t="s">
        <v>307</v>
      </c>
      <c r="V83" s="13" t="s">
        <v>121</v>
      </c>
    </row>
    <row r="84" spans="1:24" ht="30" customHeight="1">
      <c r="A84" s="11" t="s">
        <v>143</v>
      </c>
      <c r="B84" s="11" t="s">
        <v>145</v>
      </c>
      <c r="C84" s="12" t="s">
        <v>434</v>
      </c>
      <c r="D84" s="13" t="s">
        <v>435</v>
      </c>
      <c r="E84" s="14">
        <v>44257</v>
      </c>
      <c r="F84" s="12" t="s">
        <v>436</v>
      </c>
      <c r="G84" s="14">
        <v>44621</v>
      </c>
      <c r="H84" s="15"/>
      <c r="I84" s="15">
        <v>0</v>
      </c>
      <c r="J84" s="15">
        <v>3860</v>
      </c>
      <c r="K84" s="15">
        <v>4415</v>
      </c>
      <c r="L84" s="15">
        <v>4910</v>
      </c>
      <c r="M84" s="15">
        <v>4537.5</v>
      </c>
      <c r="N84" s="15">
        <v>3582.5</v>
      </c>
      <c r="O84" s="77">
        <v>3950</v>
      </c>
      <c r="P84" s="15">
        <v>3042.5</v>
      </c>
      <c r="Q84" s="15">
        <v>2580</v>
      </c>
      <c r="R84" s="15">
        <v>3375</v>
      </c>
      <c r="S84" s="15">
        <v>3585</v>
      </c>
      <c r="T84" s="16">
        <f t="shared" si="4"/>
        <v>37837.5</v>
      </c>
      <c r="U84" s="17" t="s">
        <v>307</v>
      </c>
      <c r="V84" s="13" t="s">
        <v>121</v>
      </c>
      <c r="X84" s="52"/>
    </row>
    <row r="85" spans="1:22" ht="30" customHeight="1">
      <c r="A85" s="11" t="s">
        <v>143</v>
      </c>
      <c r="B85" s="11" t="s">
        <v>145</v>
      </c>
      <c r="C85" s="12" t="s">
        <v>326</v>
      </c>
      <c r="D85" s="13" t="s">
        <v>327</v>
      </c>
      <c r="E85" s="14">
        <v>43864</v>
      </c>
      <c r="F85" s="12" t="s">
        <v>328</v>
      </c>
      <c r="G85" s="14">
        <v>44868</v>
      </c>
      <c r="H85" s="15">
        <v>2713</v>
      </c>
      <c r="I85" s="15">
        <v>1777.8</v>
      </c>
      <c r="J85" s="15">
        <v>1777.8</v>
      </c>
      <c r="K85" s="15">
        <v>1185.2</v>
      </c>
      <c r="L85" s="15"/>
      <c r="M85" s="15">
        <v>0</v>
      </c>
      <c r="N85" s="15">
        <v>0</v>
      </c>
      <c r="O85" s="77">
        <v>2370.4</v>
      </c>
      <c r="P85" s="15">
        <v>3495.6</v>
      </c>
      <c r="Q85" s="15">
        <v>2370.4</v>
      </c>
      <c r="R85" s="15">
        <v>4865.7</v>
      </c>
      <c r="S85" s="15">
        <v>3905.5</v>
      </c>
      <c r="T85" s="16">
        <f t="shared" si="4"/>
        <v>24461.4</v>
      </c>
      <c r="U85" s="17" t="s">
        <v>307</v>
      </c>
      <c r="V85" s="13" t="s">
        <v>121</v>
      </c>
    </row>
    <row r="86" spans="1:22" ht="30" customHeight="1">
      <c r="A86" s="11" t="s">
        <v>143</v>
      </c>
      <c r="B86" s="11" t="s">
        <v>145</v>
      </c>
      <c r="C86" s="12" t="s">
        <v>218</v>
      </c>
      <c r="D86" s="13" t="s">
        <v>161</v>
      </c>
      <c r="E86" s="14">
        <v>43435</v>
      </c>
      <c r="F86" s="12" t="s">
        <v>162</v>
      </c>
      <c r="G86" s="14">
        <v>44868</v>
      </c>
      <c r="H86" s="15">
        <v>3650</v>
      </c>
      <c r="I86" s="15">
        <v>5940</v>
      </c>
      <c r="J86" s="15">
        <v>6765</v>
      </c>
      <c r="K86" s="15">
        <v>5580</v>
      </c>
      <c r="L86" s="15">
        <v>8820</v>
      </c>
      <c r="M86" s="15">
        <v>6535</v>
      </c>
      <c r="N86" s="15">
        <v>5520</v>
      </c>
      <c r="O86" s="77">
        <v>5595</v>
      </c>
      <c r="P86" s="15">
        <v>5295</v>
      </c>
      <c r="Q86" s="15">
        <v>4795</v>
      </c>
      <c r="R86" s="15">
        <v>11465</v>
      </c>
      <c r="S86" s="15">
        <v>6425</v>
      </c>
      <c r="T86" s="16">
        <f t="shared" si="4"/>
        <v>76385</v>
      </c>
      <c r="U86" s="17" t="s">
        <v>307</v>
      </c>
      <c r="V86" s="13" t="s">
        <v>121</v>
      </c>
    </row>
    <row r="87" spans="1:22" ht="30" customHeight="1">
      <c r="A87" s="11" t="s">
        <v>143</v>
      </c>
      <c r="B87" s="11" t="s">
        <v>145</v>
      </c>
      <c r="C87" s="12" t="s">
        <v>445</v>
      </c>
      <c r="D87" s="13" t="s">
        <v>446</v>
      </c>
      <c r="E87" s="14">
        <v>44378</v>
      </c>
      <c r="F87" s="12" t="s">
        <v>447</v>
      </c>
      <c r="G87" s="14">
        <v>44742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10500</v>
      </c>
      <c r="O87" s="77">
        <v>10500</v>
      </c>
      <c r="P87" s="15">
        <v>10500</v>
      </c>
      <c r="Q87" s="15">
        <v>13500</v>
      </c>
      <c r="R87" s="15">
        <v>13500</v>
      </c>
      <c r="S87" s="15">
        <v>13500</v>
      </c>
      <c r="T87" s="16">
        <f t="shared" si="4"/>
        <v>72000</v>
      </c>
      <c r="U87" s="17" t="s">
        <v>307</v>
      </c>
      <c r="V87" s="13" t="s">
        <v>121</v>
      </c>
    </row>
    <row r="88" spans="1:22" ht="30" customHeight="1">
      <c r="A88" s="11" t="s">
        <v>143</v>
      </c>
      <c r="B88" s="11" t="s">
        <v>145</v>
      </c>
      <c r="C88" s="12" t="s">
        <v>242</v>
      </c>
      <c r="D88" s="13" t="s">
        <v>163</v>
      </c>
      <c r="E88" s="14">
        <v>43435</v>
      </c>
      <c r="F88" s="12" t="s">
        <v>162</v>
      </c>
      <c r="G88" s="14">
        <v>44871</v>
      </c>
      <c r="H88" s="15">
        <v>10085.92</v>
      </c>
      <c r="I88" s="15">
        <v>9266.6</v>
      </c>
      <c r="J88" s="15">
        <v>10105.92</v>
      </c>
      <c r="K88" s="15">
        <v>10450.92</v>
      </c>
      <c r="L88" s="15">
        <v>11365.92</v>
      </c>
      <c r="M88" s="15">
        <v>10165.92</v>
      </c>
      <c r="N88" s="15">
        <v>10365.92</v>
      </c>
      <c r="O88" s="77">
        <v>10200.92</v>
      </c>
      <c r="P88" s="15">
        <v>7707.27</v>
      </c>
      <c r="Q88" s="15">
        <v>11315.92</v>
      </c>
      <c r="R88" s="15">
        <v>11755.92</v>
      </c>
      <c r="S88" s="15">
        <v>8925.92</v>
      </c>
      <c r="T88" s="16">
        <f t="shared" si="4"/>
        <v>121713.06999999999</v>
      </c>
      <c r="U88" s="17" t="s">
        <v>307</v>
      </c>
      <c r="V88" s="13" t="s">
        <v>121</v>
      </c>
    </row>
    <row r="89" spans="1:22" s="52" customFormat="1" ht="30" customHeight="1">
      <c r="A89" s="11" t="s">
        <v>143</v>
      </c>
      <c r="B89" s="11" t="s">
        <v>145</v>
      </c>
      <c r="C89" s="12" t="s">
        <v>421</v>
      </c>
      <c r="D89" s="13" t="s">
        <v>424</v>
      </c>
      <c r="E89" s="14">
        <v>44138</v>
      </c>
      <c r="F89" s="12" t="s">
        <v>409</v>
      </c>
      <c r="G89" s="14">
        <v>44868</v>
      </c>
      <c r="H89" s="15">
        <v>2329.6</v>
      </c>
      <c r="I89" s="15">
        <v>1747.2</v>
      </c>
      <c r="J89" s="15">
        <v>1747.2</v>
      </c>
      <c r="K89" s="15">
        <v>1164.8</v>
      </c>
      <c r="L89" s="15">
        <v>1747.2</v>
      </c>
      <c r="M89" s="15">
        <v>1747.2</v>
      </c>
      <c r="N89" s="15">
        <v>2219.6</v>
      </c>
      <c r="O89" s="77">
        <v>1637.2</v>
      </c>
      <c r="P89" s="15">
        <v>1527.2</v>
      </c>
      <c r="Q89" s="15">
        <v>3919.6</v>
      </c>
      <c r="R89" s="15">
        <v>3344.6</v>
      </c>
      <c r="S89" s="15">
        <v>3067.2</v>
      </c>
      <c r="T89" s="16">
        <f t="shared" si="4"/>
        <v>26198.600000000002</v>
      </c>
      <c r="U89" s="17" t="s">
        <v>307</v>
      </c>
      <c r="V89" s="13" t="s">
        <v>121</v>
      </c>
    </row>
    <row r="90" spans="1:22" ht="30" customHeight="1">
      <c r="A90" s="11" t="s">
        <v>336</v>
      </c>
      <c r="B90" s="11" t="s">
        <v>145</v>
      </c>
      <c r="C90" s="12" t="s">
        <v>329</v>
      </c>
      <c r="D90" s="13" t="s">
        <v>330</v>
      </c>
      <c r="E90" s="14">
        <v>43832</v>
      </c>
      <c r="F90" s="12" t="s">
        <v>185</v>
      </c>
      <c r="G90" s="14">
        <v>44513</v>
      </c>
      <c r="H90" s="15">
        <v>9045.07</v>
      </c>
      <c r="I90" s="15">
        <v>6728.8</v>
      </c>
      <c r="J90" s="15">
        <v>7608.8</v>
      </c>
      <c r="K90" s="15">
        <v>3914.4</v>
      </c>
      <c r="L90" s="15">
        <v>7498.8</v>
      </c>
      <c r="M90" s="15">
        <v>7498.8</v>
      </c>
      <c r="N90" s="15">
        <v>2609.6</v>
      </c>
      <c r="O90" s="77">
        <v>0</v>
      </c>
      <c r="P90" s="15">
        <v>0</v>
      </c>
      <c r="Q90" s="15"/>
      <c r="R90" s="15"/>
      <c r="S90" s="15"/>
      <c r="T90" s="16">
        <f t="shared" si="4"/>
        <v>44904.270000000004</v>
      </c>
      <c r="U90" s="17" t="s">
        <v>307</v>
      </c>
      <c r="V90" s="13" t="s">
        <v>121</v>
      </c>
    </row>
    <row r="91" spans="1:22" ht="48.75" customHeight="1">
      <c r="A91" s="11" t="s">
        <v>143</v>
      </c>
      <c r="B91" s="11" t="s">
        <v>145</v>
      </c>
      <c r="C91" s="12" t="s">
        <v>241</v>
      </c>
      <c r="D91" s="13" t="s">
        <v>59</v>
      </c>
      <c r="E91" s="14">
        <v>43435</v>
      </c>
      <c r="F91" s="12" t="s">
        <v>84</v>
      </c>
      <c r="G91" s="14">
        <v>44878</v>
      </c>
      <c r="H91" s="15">
        <v>12920</v>
      </c>
      <c r="I91" s="15">
        <v>8310</v>
      </c>
      <c r="J91" s="15">
        <v>9940</v>
      </c>
      <c r="K91" s="15">
        <v>8730</v>
      </c>
      <c r="L91" s="15">
        <v>12970</v>
      </c>
      <c r="M91" s="15">
        <v>14500</v>
      </c>
      <c r="N91" s="15">
        <v>11170</v>
      </c>
      <c r="O91" s="77">
        <v>15240</v>
      </c>
      <c r="P91" s="15">
        <f>80+8800</f>
        <v>8880</v>
      </c>
      <c r="Q91" s="15">
        <v>9570</v>
      </c>
      <c r="R91" s="15">
        <v>8200</v>
      </c>
      <c r="S91" s="15">
        <v>7140</v>
      </c>
      <c r="T91" s="16">
        <f t="shared" si="4"/>
        <v>127570</v>
      </c>
      <c r="U91" s="17" t="s">
        <v>307</v>
      </c>
      <c r="V91" s="13" t="s">
        <v>121</v>
      </c>
    </row>
    <row r="92" spans="1:22" ht="30" customHeight="1">
      <c r="A92" s="11" t="s">
        <v>143</v>
      </c>
      <c r="B92" s="11" t="s">
        <v>145</v>
      </c>
      <c r="C92" s="12" t="s">
        <v>452</v>
      </c>
      <c r="D92" s="13" t="s">
        <v>455</v>
      </c>
      <c r="E92" s="14">
        <v>44494</v>
      </c>
      <c r="F92" s="12" t="s">
        <v>456</v>
      </c>
      <c r="G92" s="14">
        <v>44859</v>
      </c>
      <c r="H92" s="15"/>
      <c r="I92" s="15"/>
      <c r="J92" s="15"/>
      <c r="K92" s="15"/>
      <c r="L92" s="15"/>
      <c r="M92" s="15"/>
      <c r="N92" s="15"/>
      <c r="O92" s="15"/>
      <c r="P92" s="15"/>
      <c r="Q92" s="15">
        <v>617.2</v>
      </c>
      <c r="R92" s="15">
        <v>1234.4</v>
      </c>
      <c r="S92" s="15">
        <v>1234.4</v>
      </c>
      <c r="T92" s="16">
        <f t="shared" si="4"/>
        <v>3086</v>
      </c>
      <c r="U92" s="17" t="s">
        <v>307</v>
      </c>
      <c r="V92" s="13" t="s">
        <v>121</v>
      </c>
    </row>
    <row r="93" spans="1:22" ht="30" customHeight="1">
      <c r="A93" s="11" t="s">
        <v>143</v>
      </c>
      <c r="B93" s="11" t="s">
        <v>145</v>
      </c>
      <c r="C93" s="12" t="s">
        <v>269</v>
      </c>
      <c r="D93" s="13" t="s">
        <v>270</v>
      </c>
      <c r="E93" s="14">
        <v>43556</v>
      </c>
      <c r="F93" s="12" t="s">
        <v>87</v>
      </c>
      <c r="G93" s="14">
        <v>44878</v>
      </c>
      <c r="H93" s="15">
        <v>2190</v>
      </c>
      <c r="I93" s="15">
        <v>1370</v>
      </c>
      <c r="J93" s="15">
        <v>2657.5</v>
      </c>
      <c r="K93" s="15">
        <v>1640</v>
      </c>
      <c r="L93" s="15">
        <v>2390</v>
      </c>
      <c r="M93" s="15">
        <v>2240</v>
      </c>
      <c r="N93" s="15">
        <v>1780</v>
      </c>
      <c r="O93" s="77">
        <v>1740</v>
      </c>
      <c r="P93" s="15">
        <v>1410</v>
      </c>
      <c r="Q93" s="15">
        <v>1930</v>
      </c>
      <c r="R93" s="15">
        <v>1250</v>
      </c>
      <c r="S93" s="15">
        <v>1290</v>
      </c>
      <c r="T93" s="16">
        <f t="shared" si="4"/>
        <v>21887.5</v>
      </c>
      <c r="U93" s="17" t="s">
        <v>307</v>
      </c>
      <c r="V93" s="13" t="s">
        <v>121</v>
      </c>
    </row>
    <row r="94" spans="1:22" ht="30" customHeight="1">
      <c r="A94" s="11" t="s">
        <v>336</v>
      </c>
      <c r="B94" s="11" t="s">
        <v>145</v>
      </c>
      <c r="C94" s="12" t="s">
        <v>196</v>
      </c>
      <c r="D94" s="13" t="s">
        <v>57</v>
      </c>
      <c r="E94" s="14">
        <v>43435</v>
      </c>
      <c r="F94" s="12" t="s">
        <v>73</v>
      </c>
      <c r="G94" s="14">
        <v>44295</v>
      </c>
      <c r="H94" s="15">
        <v>10230</v>
      </c>
      <c r="I94" s="15">
        <v>9432.5</v>
      </c>
      <c r="J94" s="15">
        <v>8140</v>
      </c>
      <c r="K94" s="15">
        <v>3300</v>
      </c>
      <c r="L94" s="15"/>
      <c r="M94" s="15">
        <v>0</v>
      </c>
      <c r="N94" s="15">
        <v>0</v>
      </c>
      <c r="O94" s="77">
        <v>0</v>
      </c>
      <c r="P94" s="15">
        <v>0</v>
      </c>
      <c r="Q94" s="15"/>
      <c r="R94" s="15"/>
      <c r="S94" s="15"/>
      <c r="T94" s="16">
        <f t="shared" si="4"/>
        <v>31102.5</v>
      </c>
      <c r="U94" s="17" t="s">
        <v>307</v>
      </c>
      <c r="V94" s="13" t="s">
        <v>121</v>
      </c>
    </row>
    <row r="95" spans="1:22" ht="39" customHeight="1">
      <c r="A95" s="11" t="s">
        <v>143</v>
      </c>
      <c r="B95" s="11" t="s">
        <v>145</v>
      </c>
      <c r="C95" s="12" t="s">
        <v>195</v>
      </c>
      <c r="D95" s="13" t="s">
        <v>65</v>
      </c>
      <c r="E95" s="14">
        <v>43435</v>
      </c>
      <c r="F95" s="12" t="s">
        <v>74</v>
      </c>
      <c r="G95" s="14">
        <v>44867</v>
      </c>
      <c r="H95" s="15">
        <v>6735</v>
      </c>
      <c r="I95" s="15">
        <v>4875</v>
      </c>
      <c r="J95" s="15">
        <v>3982</v>
      </c>
      <c r="K95" s="15">
        <v>6735</v>
      </c>
      <c r="L95" s="15">
        <v>8472.5</v>
      </c>
      <c r="M95" s="15">
        <v>7155</v>
      </c>
      <c r="N95" s="15">
        <v>7162.5</v>
      </c>
      <c r="O95" s="77">
        <v>6644.25</v>
      </c>
      <c r="P95" s="15">
        <v>7669</v>
      </c>
      <c r="Q95" s="15">
        <v>7423.5</v>
      </c>
      <c r="R95" s="15">
        <v>6697.75</v>
      </c>
      <c r="S95" s="15">
        <v>5949.25</v>
      </c>
      <c r="T95" s="16">
        <f t="shared" si="4"/>
        <v>79500.75</v>
      </c>
      <c r="U95" s="17" t="s">
        <v>307</v>
      </c>
      <c r="V95" s="13" t="s">
        <v>121</v>
      </c>
    </row>
    <row r="96" spans="1:22" ht="30" customHeight="1">
      <c r="A96" s="11" t="s">
        <v>143</v>
      </c>
      <c r="B96" s="11" t="s">
        <v>145</v>
      </c>
      <c r="C96" s="12" t="s">
        <v>239</v>
      </c>
      <c r="D96" s="13" t="s">
        <v>60</v>
      </c>
      <c r="E96" s="14">
        <v>43435</v>
      </c>
      <c r="F96" s="12" t="s">
        <v>85</v>
      </c>
      <c r="G96" s="14">
        <v>44869</v>
      </c>
      <c r="H96" s="15">
        <v>10743.33</v>
      </c>
      <c r="I96" s="15">
        <v>7953</v>
      </c>
      <c r="J96" s="15">
        <v>8316</v>
      </c>
      <c r="K96" s="15">
        <v>8360</v>
      </c>
      <c r="L96" s="69">
        <v>7920</v>
      </c>
      <c r="M96" s="15">
        <v>9680</v>
      </c>
      <c r="N96" s="15">
        <v>11000</v>
      </c>
      <c r="O96" s="77">
        <v>11913</v>
      </c>
      <c r="P96" s="15">
        <v>9306</v>
      </c>
      <c r="Q96" s="15">
        <v>10596.67</v>
      </c>
      <c r="R96" s="15">
        <v>9339</v>
      </c>
      <c r="S96" s="15">
        <v>7755</v>
      </c>
      <c r="T96" s="16">
        <f t="shared" si="4"/>
        <v>112882</v>
      </c>
      <c r="U96" s="17" t="s">
        <v>307</v>
      </c>
      <c r="V96" s="13" t="s">
        <v>121</v>
      </c>
    </row>
    <row r="97" spans="1:22" ht="30" customHeight="1">
      <c r="A97" s="11" t="s">
        <v>143</v>
      </c>
      <c r="B97" s="11" t="s">
        <v>145</v>
      </c>
      <c r="C97" s="12" t="s">
        <v>216</v>
      </c>
      <c r="D97" s="13" t="s">
        <v>101</v>
      </c>
      <c r="E97" s="14">
        <v>43435</v>
      </c>
      <c r="F97" s="12" t="s">
        <v>114</v>
      </c>
      <c r="G97" s="14">
        <v>44880</v>
      </c>
      <c r="H97" s="15">
        <v>3935.2</v>
      </c>
      <c r="I97" s="15">
        <v>4375.2</v>
      </c>
      <c r="J97" s="15">
        <v>3171.4</v>
      </c>
      <c r="K97" s="15">
        <v>5139</v>
      </c>
      <c r="L97" s="69">
        <v>4375.2</v>
      </c>
      <c r="M97" s="15">
        <v>3935.2</v>
      </c>
      <c r="N97" s="15">
        <v>5138.99</v>
      </c>
      <c r="O97" s="77">
        <v>3171.4</v>
      </c>
      <c r="P97" s="15">
        <v>0</v>
      </c>
      <c r="Q97" s="15">
        <f>3935.2+5579</f>
        <v>9514.2</v>
      </c>
      <c r="R97" s="15">
        <v>4375.2</v>
      </c>
      <c r="S97" s="15">
        <v>4375.2</v>
      </c>
      <c r="T97" s="16">
        <f t="shared" si="4"/>
        <v>51506.19</v>
      </c>
      <c r="U97" s="17" t="s">
        <v>307</v>
      </c>
      <c r="V97" s="13" t="s">
        <v>121</v>
      </c>
    </row>
    <row r="98" spans="1:22" ht="50.25" customHeight="1">
      <c r="A98" s="11" t="s">
        <v>336</v>
      </c>
      <c r="B98" s="11" t="s">
        <v>145</v>
      </c>
      <c r="C98" s="12" t="s">
        <v>217</v>
      </c>
      <c r="D98" s="13" t="s">
        <v>61</v>
      </c>
      <c r="E98" s="14">
        <v>43435</v>
      </c>
      <c r="F98" s="12" t="s">
        <v>86</v>
      </c>
      <c r="G98" s="14">
        <v>44502</v>
      </c>
      <c r="H98" s="15">
        <v>6656.8</v>
      </c>
      <c r="I98" s="15">
        <v>7436.8</v>
      </c>
      <c r="J98" s="15">
        <v>7436.8</v>
      </c>
      <c r="K98" s="15">
        <v>8326.8</v>
      </c>
      <c r="L98" s="69">
        <v>8689.3</v>
      </c>
      <c r="M98" s="15">
        <v>6287.6</v>
      </c>
      <c r="N98" s="15">
        <v>8216.8</v>
      </c>
      <c r="O98" s="77">
        <v>6909.3</v>
      </c>
      <c r="P98" s="15">
        <v>0</v>
      </c>
      <c r="Q98" s="15"/>
      <c r="R98" s="15"/>
      <c r="S98" s="15"/>
      <c r="T98" s="16">
        <f t="shared" si="4"/>
        <v>59960.2</v>
      </c>
      <c r="U98" s="17" t="s">
        <v>307</v>
      </c>
      <c r="V98" s="13" t="s">
        <v>121</v>
      </c>
    </row>
    <row r="99" spans="1:22" ht="30" customHeight="1">
      <c r="A99" s="11" t="s">
        <v>143</v>
      </c>
      <c r="B99" s="11" t="s">
        <v>145</v>
      </c>
      <c r="C99" s="12" t="s">
        <v>237</v>
      </c>
      <c r="D99" s="13" t="s">
        <v>63</v>
      </c>
      <c r="E99" s="14">
        <v>43435</v>
      </c>
      <c r="F99" s="12" t="s">
        <v>151</v>
      </c>
      <c r="G99" s="14">
        <v>44867</v>
      </c>
      <c r="H99" s="15">
        <v>5580</v>
      </c>
      <c r="I99" s="15">
        <v>5885</v>
      </c>
      <c r="J99" s="15">
        <v>3550</v>
      </c>
      <c r="K99" s="15">
        <v>4690</v>
      </c>
      <c r="L99" s="69">
        <v>4420</v>
      </c>
      <c r="M99" s="15">
        <v>5790</v>
      </c>
      <c r="N99" s="15">
        <v>4550</v>
      </c>
      <c r="O99" s="77">
        <v>5380</v>
      </c>
      <c r="P99" s="15">
        <v>6340</v>
      </c>
      <c r="Q99" s="15">
        <v>6780</v>
      </c>
      <c r="R99" s="15">
        <v>4550</v>
      </c>
      <c r="S99" s="15">
        <v>4925</v>
      </c>
      <c r="T99" s="16">
        <f t="shared" si="4"/>
        <v>62440</v>
      </c>
      <c r="U99" s="17" t="s">
        <v>307</v>
      </c>
      <c r="V99" s="13" t="s">
        <v>121</v>
      </c>
    </row>
    <row r="100" spans="1:22" ht="30" customHeight="1">
      <c r="A100" s="11" t="s">
        <v>143</v>
      </c>
      <c r="B100" s="11" t="s">
        <v>145</v>
      </c>
      <c r="C100" s="12" t="s">
        <v>238</v>
      </c>
      <c r="D100" s="13" t="s">
        <v>62</v>
      </c>
      <c r="E100" s="14">
        <v>43435</v>
      </c>
      <c r="F100" s="12" t="s">
        <v>71</v>
      </c>
      <c r="G100" s="14">
        <v>44868</v>
      </c>
      <c r="H100" s="15">
        <v>31930</v>
      </c>
      <c r="I100" s="15">
        <v>30115</v>
      </c>
      <c r="J100" s="15">
        <v>29797.5</v>
      </c>
      <c r="K100" s="15">
        <v>29127.5</v>
      </c>
      <c r="L100" s="69">
        <v>31730</v>
      </c>
      <c r="M100" s="15">
        <v>32940</v>
      </c>
      <c r="N100" s="15">
        <v>31200</v>
      </c>
      <c r="O100" s="77">
        <v>30480</v>
      </c>
      <c r="P100" s="15">
        <v>17317.5</v>
      </c>
      <c r="Q100" s="15">
        <v>22667.5</v>
      </c>
      <c r="R100" s="15">
        <v>25930</v>
      </c>
      <c r="S100" s="15">
        <v>28635</v>
      </c>
      <c r="T100" s="16">
        <f t="shared" si="4"/>
        <v>341870</v>
      </c>
      <c r="U100" s="17" t="s">
        <v>307</v>
      </c>
      <c r="V100" s="13" t="s">
        <v>121</v>
      </c>
    </row>
    <row r="101" spans="1:22" ht="30" customHeight="1">
      <c r="A101" s="11" t="s">
        <v>143</v>
      </c>
      <c r="B101" s="11" t="s">
        <v>145</v>
      </c>
      <c r="C101" s="12" t="s">
        <v>277</v>
      </c>
      <c r="D101" s="13" t="s">
        <v>278</v>
      </c>
      <c r="E101" s="14">
        <v>43684</v>
      </c>
      <c r="F101" s="12" t="s">
        <v>268</v>
      </c>
      <c r="G101" s="14">
        <v>44870</v>
      </c>
      <c r="H101" s="15">
        <v>5280</v>
      </c>
      <c r="I101" s="15">
        <v>5170</v>
      </c>
      <c r="J101" s="15">
        <v>10710</v>
      </c>
      <c r="K101" s="15">
        <v>5280</v>
      </c>
      <c r="L101" s="69">
        <v>3960</v>
      </c>
      <c r="M101" s="15">
        <v>5720</v>
      </c>
      <c r="N101" s="15">
        <v>5720</v>
      </c>
      <c r="O101" s="77">
        <v>5720</v>
      </c>
      <c r="P101" s="15">
        <v>5720</v>
      </c>
      <c r="Q101" s="15">
        <v>4840</v>
      </c>
      <c r="R101" s="15">
        <v>4400</v>
      </c>
      <c r="S101" s="15">
        <v>4400</v>
      </c>
      <c r="T101" s="16">
        <f aca="true" t="shared" si="5" ref="T101:T108">SUM(H101:S101)</f>
        <v>66920</v>
      </c>
      <c r="U101" s="17" t="s">
        <v>307</v>
      </c>
      <c r="V101" s="13" t="s">
        <v>121</v>
      </c>
    </row>
    <row r="102" spans="1:22" ht="30" customHeight="1">
      <c r="A102" s="11" t="s">
        <v>143</v>
      </c>
      <c r="B102" s="11" t="s">
        <v>145</v>
      </c>
      <c r="C102" s="12" t="s">
        <v>207</v>
      </c>
      <c r="D102" s="13" t="s">
        <v>213</v>
      </c>
      <c r="E102" s="14">
        <v>43497</v>
      </c>
      <c r="F102" s="12" t="s">
        <v>185</v>
      </c>
      <c r="G102" s="14">
        <v>44878</v>
      </c>
      <c r="H102" s="15">
        <f>2359.2+6414</f>
        <v>8773.2</v>
      </c>
      <c r="I102" s="15">
        <f>3868.8+6414</f>
        <v>10282.8</v>
      </c>
      <c r="J102" s="15">
        <f>6854+9485.07</f>
        <v>16339.07</v>
      </c>
      <c r="K102" s="15">
        <f>9558.4+4244.4</f>
        <v>13802.8</v>
      </c>
      <c r="L102" s="69">
        <v>12388</v>
      </c>
      <c r="M102" s="15">
        <v>11413.2</v>
      </c>
      <c r="N102" s="15">
        <v>11743.2</v>
      </c>
      <c r="O102" s="77">
        <v>12828</v>
      </c>
      <c r="P102" s="15">
        <v>14242.8</v>
      </c>
      <c r="Q102" s="15">
        <v>12843.2</v>
      </c>
      <c r="R102" s="15">
        <v>11428.4</v>
      </c>
      <c r="S102" s="15">
        <v>10123.6</v>
      </c>
      <c r="T102" s="16">
        <f t="shared" si="5"/>
        <v>146208.27</v>
      </c>
      <c r="U102" s="17" t="s">
        <v>307</v>
      </c>
      <c r="V102" s="13" t="s">
        <v>121</v>
      </c>
    </row>
    <row r="103" spans="1:22" ht="30" customHeight="1">
      <c r="A103" s="11" t="s">
        <v>336</v>
      </c>
      <c r="B103" s="11" t="s">
        <v>145</v>
      </c>
      <c r="C103" s="12" t="s">
        <v>373</v>
      </c>
      <c r="D103" s="13" t="s">
        <v>386</v>
      </c>
      <c r="E103" s="14">
        <v>43862</v>
      </c>
      <c r="F103" s="12" t="s">
        <v>113</v>
      </c>
      <c r="G103" s="14">
        <v>44316</v>
      </c>
      <c r="H103" s="15">
        <v>1300</v>
      </c>
      <c r="I103" s="15">
        <v>700</v>
      </c>
      <c r="J103" s="15">
        <v>600</v>
      </c>
      <c r="K103" s="15">
        <v>0</v>
      </c>
      <c r="L103" s="69"/>
      <c r="M103" s="15">
        <v>0</v>
      </c>
      <c r="N103" s="15">
        <v>0</v>
      </c>
      <c r="O103" s="77">
        <v>0</v>
      </c>
      <c r="P103" s="15">
        <v>0</v>
      </c>
      <c r="Q103" s="15"/>
      <c r="R103" s="15"/>
      <c r="S103" s="15"/>
      <c r="T103" s="16">
        <f>SUM(H103:S103)</f>
        <v>2600</v>
      </c>
      <c r="U103" s="17" t="s">
        <v>307</v>
      </c>
      <c r="V103" s="13" t="s">
        <v>121</v>
      </c>
    </row>
    <row r="104" spans="1:22" ht="30" customHeight="1">
      <c r="A104" s="11" t="s">
        <v>143</v>
      </c>
      <c r="B104" s="11" t="s">
        <v>145</v>
      </c>
      <c r="C104" s="12" t="s">
        <v>425</v>
      </c>
      <c r="D104" s="13" t="s">
        <v>426</v>
      </c>
      <c r="E104" s="14">
        <v>44166</v>
      </c>
      <c r="F104" s="12" t="s">
        <v>177</v>
      </c>
      <c r="G104" s="14">
        <v>44895</v>
      </c>
      <c r="H104" s="15">
        <v>8830</v>
      </c>
      <c r="I104" s="15">
        <v>6370</v>
      </c>
      <c r="J104" s="15">
        <v>4885</v>
      </c>
      <c r="K104" s="15">
        <v>4505</v>
      </c>
      <c r="L104" s="69">
        <v>4265</v>
      </c>
      <c r="M104" s="15">
        <v>4910</v>
      </c>
      <c r="N104" s="15">
        <v>4930</v>
      </c>
      <c r="O104" s="77">
        <v>5387.5</v>
      </c>
      <c r="P104" s="15">
        <v>5507.5</v>
      </c>
      <c r="Q104" s="15">
        <v>7192.5</v>
      </c>
      <c r="R104" s="15">
        <v>2047.5</v>
      </c>
      <c r="S104" s="15">
        <v>6237.5</v>
      </c>
      <c r="T104" s="16">
        <f>SUM(H104:S104)</f>
        <v>65067.5</v>
      </c>
      <c r="U104" s="17" t="s">
        <v>307</v>
      </c>
      <c r="V104" s="13" t="s">
        <v>121</v>
      </c>
    </row>
    <row r="105" spans="1:22" ht="30" customHeight="1">
      <c r="A105" s="11" t="s">
        <v>143</v>
      </c>
      <c r="B105" s="11" t="s">
        <v>145</v>
      </c>
      <c r="C105" s="12" t="s">
        <v>463</v>
      </c>
      <c r="D105" s="13" t="s">
        <v>465</v>
      </c>
      <c r="E105" s="14">
        <v>44509</v>
      </c>
      <c r="F105" s="12" t="s">
        <v>456</v>
      </c>
      <c r="G105" s="14">
        <v>44874</v>
      </c>
      <c r="H105" s="15">
        <v>0</v>
      </c>
      <c r="I105" s="15">
        <v>0</v>
      </c>
      <c r="J105" s="15"/>
      <c r="K105" s="15"/>
      <c r="L105" s="69"/>
      <c r="M105" s="15">
        <v>0</v>
      </c>
      <c r="N105" s="15">
        <v>0</v>
      </c>
      <c r="O105" s="77">
        <v>0</v>
      </c>
      <c r="P105" s="15">
        <v>0</v>
      </c>
      <c r="Q105" s="15">
        <v>0</v>
      </c>
      <c r="R105" s="15">
        <v>0</v>
      </c>
      <c r="S105" s="15">
        <v>1980</v>
      </c>
      <c r="T105" s="16">
        <f>SUM(H105:S105)</f>
        <v>1980</v>
      </c>
      <c r="U105" s="17" t="s">
        <v>307</v>
      </c>
      <c r="V105" s="13" t="s">
        <v>121</v>
      </c>
    </row>
    <row r="106" spans="1:22" ht="42" customHeight="1">
      <c r="A106" s="11" t="s">
        <v>143</v>
      </c>
      <c r="B106" s="11" t="s">
        <v>145</v>
      </c>
      <c r="C106" s="12" t="s">
        <v>340</v>
      </c>
      <c r="D106" s="13" t="s">
        <v>348</v>
      </c>
      <c r="E106" s="14">
        <v>43892</v>
      </c>
      <c r="F106" s="12" t="s">
        <v>353</v>
      </c>
      <c r="G106" s="14">
        <v>44868</v>
      </c>
      <c r="H106" s="15">
        <v>2035</v>
      </c>
      <c r="I106" s="15">
        <v>2920.5</v>
      </c>
      <c r="J106" s="15">
        <v>2970</v>
      </c>
      <c r="K106" s="15">
        <v>2530</v>
      </c>
      <c r="L106" s="69">
        <v>3245</v>
      </c>
      <c r="M106" s="15">
        <v>3025</v>
      </c>
      <c r="N106" s="15">
        <v>3575</v>
      </c>
      <c r="O106" s="77">
        <v>3520</v>
      </c>
      <c r="P106" s="15">
        <v>4207.5</v>
      </c>
      <c r="Q106" s="15">
        <v>3960</v>
      </c>
      <c r="R106" s="15">
        <v>4235</v>
      </c>
      <c r="S106" s="15">
        <v>4235</v>
      </c>
      <c r="T106" s="16">
        <f t="shared" si="5"/>
        <v>40458</v>
      </c>
      <c r="U106" s="17" t="s">
        <v>307</v>
      </c>
      <c r="V106" s="13" t="s">
        <v>121</v>
      </c>
    </row>
    <row r="107" spans="1:22" ht="47.25" customHeight="1">
      <c r="A107" s="11" t="s">
        <v>143</v>
      </c>
      <c r="B107" s="11" t="s">
        <v>145</v>
      </c>
      <c r="C107" s="12" t="s">
        <v>192</v>
      </c>
      <c r="D107" s="13" t="s">
        <v>67</v>
      </c>
      <c r="E107" s="14">
        <v>43435</v>
      </c>
      <c r="F107" s="12" t="s">
        <v>89</v>
      </c>
      <c r="G107" s="14">
        <v>44868</v>
      </c>
      <c r="H107" s="15">
        <v>14410</v>
      </c>
      <c r="I107" s="15">
        <v>13420</v>
      </c>
      <c r="J107" s="15">
        <v>10340</v>
      </c>
      <c r="K107" s="15">
        <v>11660</v>
      </c>
      <c r="L107" s="69">
        <v>11770</v>
      </c>
      <c r="M107" s="15">
        <v>13640</v>
      </c>
      <c r="N107" s="15">
        <v>13420</v>
      </c>
      <c r="O107" s="77">
        <v>13420</v>
      </c>
      <c r="P107" s="15">
        <v>23210</v>
      </c>
      <c r="Q107" s="15">
        <v>21120</v>
      </c>
      <c r="R107" s="15">
        <v>26840</v>
      </c>
      <c r="S107" s="15">
        <v>24310</v>
      </c>
      <c r="T107" s="16">
        <f t="shared" si="5"/>
        <v>197560</v>
      </c>
      <c r="U107" s="17" t="s">
        <v>307</v>
      </c>
      <c r="V107" s="13" t="s">
        <v>121</v>
      </c>
    </row>
    <row r="108" spans="1:22" ht="30" customHeight="1">
      <c r="A108" s="11" t="s">
        <v>143</v>
      </c>
      <c r="B108" s="11" t="s">
        <v>145</v>
      </c>
      <c r="C108" s="12" t="s">
        <v>191</v>
      </c>
      <c r="D108" s="13" t="s">
        <v>68</v>
      </c>
      <c r="E108" s="14">
        <v>43435</v>
      </c>
      <c r="F108" s="12" t="s">
        <v>90</v>
      </c>
      <c r="G108" s="14">
        <v>44869</v>
      </c>
      <c r="H108" s="15">
        <v>7177.5</v>
      </c>
      <c r="I108" s="15">
        <v>7360</v>
      </c>
      <c r="J108" s="15">
        <v>7057.5</v>
      </c>
      <c r="K108" s="15">
        <v>6127.5</v>
      </c>
      <c r="L108" s="69">
        <v>7360</v>
      </c>
      <c r="M108" s="15">
        <v>7750</v>
      </c>
      <c r="N108" s="15">
        <v>6727.5</v>
      </c>
      <c r="O108" s="77">
        <v>7200</v>
      </c>
      <c r="P108" s="15">
        <v>6370</v>
      </c>
      <c r="Q108" s="15">
        <v>6727.5</v>
      </c>
      <c r="R108" s="15">
        <v>6750</v>
      </c>
      <c r="S108" s="15">
        <v>6677.5</v>
      </c>
      <c r="T108" s="16">
        <f t="shared" si="5"/>
        <v>83285</v>
      </c>
      <c r="U108" s="17" t="s">
        <v>307</v>
      </c>
      <c r="V108" s="13" t="s">
        <v>121</v>
      </c>
    </row>
    <row r="109" spans="1:27" ht="12.75">
      <c r="A109" s="94" t="s">
        <v>0</v>
      </c>
      <c r="B109" s="94"/>
      <c r="C109" s="94"/>
      <c r="D109" s="94"/>
      <c r="E109" s="94"/>
      <c r="F109" s="94"/>
      <c r="G109" s="94"/>
      <c r="H109" s="86">
        <f aca="true" t="shared" si="6" ref="H109:S109">SUM(H29:H108)</f>
        <v>725776.7999999999</v>
      </c>
      <c r="I109" s="86">
        <f t="shared" si="6"/>
        <v>672668.43</v>
      </c>
      <c r="J109" s="86">
        <f t="shared" si="6"/>
        <v>664543.71</v>
      </c>
      <c r="K109" s="86">
        <f t="shared" si="6"/>
        <v>617691.0300000003</v>
      </c>
      <c r="L109" s="86">
        <f t="shared" si="6"/>
        <v>700672.4700000001</v>
      </c>
      <c r="M109" s="86">
        <f t="shared" si="6"/>
        <v>690712.8599999999</v>
      </c>
      <c r="N109" s="86">
        <f t="shared" si="6"/>
        <v>666947.83</v>
      </c>
      <c r="O109" s="78">
        <f t="shared" si="6"/>
        <v>657109.03</v>
      </c>
      <c r="P109" s="86">
        <f t="shared" si="6"/>
        <v>603580.41</v>
      </c>
      <c r="Q109" s="86">
        <f t="shared" si="6"/>
        <v>701025.57</v>
      </c>
      <c r="R109" s="86">
        <f t="shared" si="6"/>
        <v>726510.71</v>
      </c>
      <c r="S109" s="86">
        <f t="shared" si="6"/>
        <v>766940.2</v>
      </c>
      <c r="T109" s="16">
        <f>SUM(H109:S109)</f>
        <v>8194179.050000001</v>
      </c>
      <c r="U109" s="95"/>
      <c r="V109" s="95"/>
      <c r="W109" s="63"/>
      <c r="X109" s="63"/>
      <c r="Y109" s="63"/>
      <c r="Z109" s="70"/>
      <c r="AA109" s="63"/>
    </row>
    <row r="110" spans="1:24" ht="12.75">
      <c r="A110" s="24"/>
      <c r="B110" s="24"/>
      <c r="C110" s="24"/>
      <c r="D110" s="24"/>
      <c r="E110" s="24"/>
      <c r="F110" s="24"/>
      <c r="G110" s="24"/>
      <c r="H110" s="25"/>
      <c r="I110" s="25"/>
      <c r="J110" s="25"/>
      <c r="K110" s="25">
        <f>K109+K112</f>
        <v>739579.8900000002</v>
      </c>
      <c r="L110" s="25"/>
      <c r="M110" s="25"/>
      <c r="N110" s="25"/>
      <c r="O110" s="80"/>
      <c r="P110" s="25"/>
      <c r="Q110" s="25"/>
      <c r="R110" s="25"/>
      <c r="S110" s="25"/>
      <c r="T110" s="26"/>
      <c r="U110" s="26"/>
      <c r="V110" s="27"/>
      <c r="X110" s="63"/>
    </row>
    <row r="111" spans="1:23" s="21" customFormat="1" ht="15">
      <c r="A111" s="91" t="s">
        <v>392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3"/>
      <c r="W111" s="62"/>
    </row>
    <row r="112" spans="1:23" ht="25.5">
      <c r="A112" s="11" t="s">
        <v>143</v>
      </c>
      <c r="B112" s="11" t="s">
        <v>145</v>
      </c>
      <c r="C112" s="12" t="s">
        <v>118</v>
      </c>
      <c r="D112" s="13" t="s">
        <v>119</v>
      </c>
      <c r="E112" s="14">
        <v>43435</v>
      </c>
      <c r="F112" s="18" t="s">
        <v>13</v>
      </c>
      <c r="G112" s="14">
        <v>44620</v>
      </c>
      <c r="H112" s="15">
        <v>116101.55</v>
      </c>
      <c r="I112" s="15">
        <v>117756.15</v>
      </c>
      <c r="J112" s="15">
        <v>97987.04</v>
      </c>
      <c r="K112" s="77">
        <f>101888.86+20000</f>
        <v>121888.86</v>
      </c>
      <c r="L112" s="15">
        <f>17607.39+144930.89</f>
        <v>162538.28000000003</v>
      </c>
      <c r="M112" s="15">
        <v>115643.09</v>
      </c>
      <c r="N112" s="15">
        <v>112877.99</v>
      </c>
      <c r="O112" s="77">
        <v>96263.28</v>
      </c>
      <c r="P112" s="15">
        <v>123832.51</v>
      </c>
      <c r="Q112" s="15">
        <v>111540</v>
      </c>
      <c r="R112" s="15">
        <v>114806.09</v>
      </c>
      <c r="S112" s="15">
        <v>118793.53</v>
      </c>
      <c r="T112" s="16">
        <f>SUM(H112:S112)</f>
        <v>1410028.37</v>
      </c>
      <c r="U112" s="17" t="s">
        <v>307</v>
      </c>
      <c r="V112" s="13" t="s">
        <v>121</v>
      </c>
      <c r="W112" s="63"/>
    </row>
    <row r="113" spans="1:22" ht="44.25" customHeight="1">
      <c r="A113" s="11" t="s">
        <v>143</v>
      </c>
      <c r="B113" s="11" t="s">
        <v>145</v>
      </c>
      <c r="C113" s="12" t="s">
        <v>93</v>
      </c>
      <c r="D113" s="13" t="s">
        <v>22</v>
      </c>
      <c r="E113" s="14">
        <v>43435</v>
      </c>
      <c r="F113" s="18" t="s">
        <v>35</v>
      </c>
      <c r="G113" s="14">
        <v>44896</v>
      </c>
      <c r="H113" s="15">
        <v>1500</v>
      </c>
      <c r="I113" s="15">
        <v>1500</v>
      </c>
      <c r="J113" s="15">
        <v>1500</v>
      </c>
      <c r="K113" s="15">
        <v>1500</v>
      </c>
      <c r="L113" s="15">
        <v>1500</v>
      </c>
      <c r="M113" s="15">
        <v>1500</v>
      </c>
      <c r="N113" s="15">
        <v>1500</v>
      </c>
      <c r="O113" s="77">
        <v>1500</v>
      </c>
      <c r="P113" s="15">
        <v>1500</v>
      </c>
      <c r="Q113" s="15">
        <v>1500</v>
      </c>
      <c r="R113" s="15">
        <v>1500</v>
      </c>
      <c r="S113" s="15">
        <v>1500</v>
      </c>
      <c r="T113" s="16">
        <f>SUM(H113:S113)</f>
        <v>18000</v>
      </c>
      <c r="U113" s="17" t="s">
        <v>313</v>
      </c>
      <c r="V113" s="13" t="s">
        <v>121</v>
      </c>
    </row>
    <row r="114" spans="1:22" ht="12.75">
      <c r="A114" s="94"/>
      <c r="B114" s="94"/>
      <c r="C114" s="94"/>
      <c r="D114" s="94"/>
      <c r="E114" s="94"/>
      <c r="F114" s="94"/>
      <c r="G114" s="94"/>
      <c r="H114" s="86">
        <f aca="true" t="shared" si="7" ref="H114:S114">SUM(H112:H113)</f>
        <v>117601.55</v>
      </c>
      <c r="I114" s="86">
        <f t="shared" si="7"/>
        <v>119256.15</v>
      </c>
      <c r="J114" s="86">
        <f t="shared" si="7"/>
        <v>99487.04</v>
      </c>
      <c r="K114" s="86">
        <f t="shared" si="7"/>
        <v>123388.86</v>
      </c>
      <c r="L114" s="86">
        <f t="shared" si="7"/>
        <v>164038.28000000003</v>
      </c>
      <c r="M114" s="86">
        <f t="shared" si="7"/>
        <v>117143.09</v>
      </c>
      <c r="N114" s="86">
        <f t="shared" si="7"/>
        <v>114377.99</v>
      </c>
      <c r="O114" s="78">
        <f t="shared" si="7"/>
        <v>97763.28</v>
      </c>
      <c r="P114" s="86">
        <f t="shared" si="7"/>
        <v>125332.51</v>
      </c>
      <c r="Q114" s="86">
        <f t="shared" si="7"/>
        <v>113040</v>
      </c>
      <c r="R114" s="86">
        <f t="shared" si="7"/>
        <v>116306.09</v>
      </c>
      <c r="S114" s="86">
        <f t="shared" si="7"/>
        <v>120293.53</v>
      </c>
      <c r="T114" s="16">
        <f>SUM(H114:S114)</f>
        <v>1428028.37</v>
      </c>
      <c r="U114" s="95"/>
      <c r="V114" s="95"/>
    </row>
    <row r="115" spans="1:22" ht="12.75">
      <c r="A115" s="24"/>
      <c r="B115" s="24"/>
      <c r="C115" s="24"/>
      <c r="D115" s="24"/>
      <c r="E115" s="24"/>
      <c r="F115" s="24"/>
      <c r="G115" s="24"/>
      <c r="H115" s="25"/>
      <c r="I115" s="25"/>
      <c r="J115" s="25"/>
      <c r="K115" s="25"/>
      <c r="L115" s="25"/>
      <c r="M115" s="25"/>
      <c r="N115" s="25"/>
      <c r="O115" s="80"/>
      <c r="P115" s="25"/>
      <c r="Q115" s="25"/>
      <c r="R115" s="25"/>
      <c r="S115" s="25"/>
      <c r="T115" s="26"/>
      <c r="U115" s="26"/>
      <c r="V115" s="27"/>
    </row>
    <row r="116" spans="1:22" s="21" customFormat="1" ht="15">
      <c r="A116" s="91" t="s">
        <v>416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3"/>
    </row>
    <row r="117" spans="1:22" ht="43.5" customHeight="1">
      <c r="A117" s="11" t="s">
        <v>336</v>
      </c>
      <c r="B117" s="11" t="s">
        <v>145</v>
      </c>
      <c r="C117" s="12" t="s">
        <v>354</v>
      </c>
      <c r="D117" s="13" t="s">
        <v>343</v>
      </c>
      <c r="E117" s="14">
        <v>43864</v>
      </c>
      <c r="F117" s="12" t="s">
        <v>352</v>
      </c>
      <c r="G117" s="14">
        <v>44561</v>
      </c>
      <c r="H117" s="15">
        <v>5000</v>
      </c>
      <c r="I117" s="15">
        <v>5000</v>
      </c>
      <c r="J117" s="15">
        <v>5000</v>
      </c>
      <c r="K117" s="15">
        <v>5000</v>
      </c>
      <c r="L117" s="15">
        <v>5000</v>
      </c>
      <c r="M117" s="15">
        <v>5000</v>
      </c>
      <c r="N117" s="15">
        <v>5000</v>
      </c>
      <c r="O117" s="77">
        <v>5000</v>
      </c>
      <c r="P117" s="15">
        <v>0</v>
      </c>
      <c r="Q117" s="15">
        <v>0</v>
      </c>
      <c r="R117" s="15">
        <v>0</v>
      </c>
      <c r="S117" s="15">
        <v>0</v>
      </c>
      <c r="T117" s="16">
        <f>SUM(H117:S117)</f>
        <v>40000</v>
      </c>
      <c r="U117" s="17" t="s">
        <v>415</v>
      </c>
      <c r="V117" s="13" t="s">
        <v>121</v>
      </c>
    </row>
    <row r="118" spans="1:22" ht="38.25" customHeight="1">
      <c r="A118" s="11" t="s">
        <v>143</v>
      </c>
      <c r="B118" s="11" t="s">
        <v>145</v>
      </c>
      <c r="C118" s="12" t="s">
        <v>449</v>
      </c>
      <c r="D118" s="13" t="s">
        <v>448</v>
      </c>
      <c r="E118" s="14">
        <v>44440</v>
      </c>
      <c r="F118" s="12" t="s">
        <v>352</v>
      </c>
      <c r="G118" s="14">
        <v>44804</v>
      </c>
      <c r="H118" s="15"/>
      <c r="I118" s="15"/>
      <c r="J118" s="15"/>
      <c r="K118" s="15"/>
      <c r="L118" s="15"/>
      <c r="M118" s="15"/>
      <c r="N118" s="15"/>
      <c r="O118" s="77"/>
      <c r="P118" s="15">
        <v>5000</v>
      </c>
      <c r="Q118" s="15">
        <v>5000</v>
      </c>
      <c r="R118" s="15">
        <v>5000</v>
      </c>
      <c r="S118" s="15">
        <v>5000</v>
      </c>
      <c r="T118" s="16">
        <f>SUM(H118:S118)</f>
        <v>20000</v>
      </c>
      <c r="U118" s="17" t="s">
        <v>415</v>
      </c>
      <c r="V118" s="13" t="s">
        <v>121</v>
      </c>
    </row>
    <row r="119" spans="1:22" ht="12.75">
      <c r="A119" s="94" t="s">
        <v>0</v>
      </c>
      <c r="B119" s="94"/>
      <c r="C119" s="94"/>
      <c r="D119" s="94"/>
      <c r="E119" s="94"/>
      <c r="F119" s="94"/>
      <c r="G119" s="94"/>
      <c r="H119" s="86">
        <f>SUM(H117:H118)</f>
        <v>5000</v>
      </c>
      <c r="I119" s="86">
        <f aca="true" t="shared" si="8" ref="I119:S119">SUM(I117:I118)</f>
        <v>5000</v>
      </c>
      <c r="J119" s="86">
        <f t="shared" si="8"/>
        <v>5000</v>
      </c>
      <c r="K119" s="86">
        <f t="shared" si="8"/>
        <v>5000</v>
      </c>
      <c r="L119" s="86">
        <f t="shared" si="8"/>
        <v>5000</v>
      </c>
      <c r="M119" s="86">
        <f t="shared" si="8"/>
        <v>5000</v>
      </c>
      <c r="N119" s="86">
        <f t="shared" si="8"/>
        <v>5000</v>
      </c>
      <c r="O119" s="86">
        <f t="shared" si="8"/>
        <v>5000</v>
      </c>
      <c r="P119" s="86">
        <f t="shared" si="8"/>
        <v>5000</v>
      </c>
      <c r="Q119" s="86">
        <f t="shared" si="8"/>
        <v>5000</v>
      </c>
      <c r="R119" s="86">
        <f t="shared" si="8"/>
        <v>5000</v>
      </c>
      <c r="S119" s="86">
        <f t="shared" si="8"/>
        <v>5000</v>
      </c>
      <c r="T119" s="16">
        <f>SUM(H119:S119)</f>
        <v>60000</v>
      </c>
      <c r="U119" s="95"/>
      <c r="V119" s="95"/>
    </row>
    <row r="120" spans="1:22" ht="12.75">
      <c r="A120" s="24"/>
      <c r="B120" s="24"/>
      <c r="C120" s="24"/>
      <c r="D120" s="24"/>
      <c r="E120" s="24"/>
      <c r="F120" s="24"/>
      <c r="G120" s="24"/>
      <c r="H120" s="25"/>
      <c r="I120" s="25"/>
      <c r="J120" s="25"/>
      <c r="K120" s="25"/>
      <c r="L120" s="25"/>
      <c r="M120" s="25"/>
      <c r="N120" s="25"/>
      <c r="O120" s="80"/>
      <c r="P120" s="25"/>
      <c r="Q120" s="25"/>
      <c r="R120" s="25"/>
      <c r="S120" s="25"/>
      <c r="T120" s="26"/>
      <c r="U120" s="26"/>
      <c r="V120" s="27"/>
    </row>
    <row r="121" spans="1:22" s="21" customFormat="1" ht="15">
      <c r="A121" s="91" t="s">
        <v>417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3"/>
    </row>
    <row r="122" spans="1:22" ht="44.25" customHeight="1">
      <c r="A122" s="11" t="s">
        <v>143</v>
      </c>
      <c r="B122" s="11" t="s">
        <v>145</v>
      </c>
      <c r="C122" s="12" t="s">
        <v>418</v>
      </c>
      <c r="D122" s="13" t="s">
        <v>419</v>
      </c>
      <c r="E122" s="14">
        <v>44075</v>
      </c>
      <c r="F122" s="18" t="s">
        <v>116</v>
      </c>
      <c r="G122" s="14">
        <v>44880</v>
      </c>
      <c r="H122" s="15">
        <v>3000</v>
      </c>
      <c r="I122" s="15">
        <v>3000</v>
      </c>
      <c r="J122" s="15">
        <v>3000</v>
      </c>
      <c r="K122" s="15">
        <v>3000</v>
      </c>
      <c r="L122" s="15">
        <v>3000</v>
      </c>
      <c r="M122" s="15">
        <v>3000</v>
      </c>
      <c r="N122" s="15">
        <v>3000</v>
      </c>
      <c r="O122" s="77">
        <v>3000</v>
      </c>
      <c r="P122" s="15">
        <v>3000</v>
      </c>
      <c r="Q122" s="15">
        <v>3000</v>
      </c>
      <c r="R122" s="15">
        <v>3000</v>
      </c>
      <c r="S122" s="15">
        <v>3000</v>
      </c>
      <c r="T122" s="16">
        <f>SUM(H122:S122)</f>
        <v>36000</v>
      </c>
      <c r="U122" s="17" t="s">
        <v>313</v>
      </c>
      <c r="V122" s="13" t="s">
        <v>121</v>
      </c>
    </row>
    <row r="123" spans="1:22" ht="12.75">
      <c r="A123" s="94" t="s">
        <v>0</v>
      </c>
      <c r="B123" s="94"/>
      <c r="C123" s="94"/>
      <c r="D123" s="94"/>
      <c r="E123" s="94"/>
      <c r="F123" s="94"/>
      <c r="G123" s="94"/>
      <c r="H123" s="86">
        <f aca="true" t="shared" si="9" ref="H123:S123">SUM(H122:H122)</f>
        <v>3000</v>
      </c>
      <c r="I123" s="86">
        <f t="shared" si="9"/>
        <v>3000</v>
      </c>
      <c r="J123" s="86">
        <f t="shared" si="9"/>
        <v>3000</v>
      </c>
      <c r="K123" s="86">
        <f t="shared" si="9"/>
        <v>3000</v>
      </c>
      <c r="L123" s="86">
        <f t="shared" si="9"/>
        <v>3000</v>
      </c>
      <c r="M123" s="86">
        <f t="shared" si="9"/>
        <v>3000</v>
      </c>
      <c r="N123" s="86">
        <f t="shared" si="9"/>
        <v>3000</v>
      </c>
      <c r="O123" s="78">
        <f t="shared" si="9"/>
        <v>3000</v>
      </c>
      <c r="P123" s="86">
        <f t="shared" si="9"/>
        <v>3000</v>
      </c>
      <c r="Q123" s="86">
        <f t="shared" si="9"/>
        <v>3000</v>
      </c>
      <c r="R123" s="86">
        <f t="shared" si="9"/>
        <v>3000</v>
      </c>
      <c r="S123" s="86">
        <f t="shared" si="9"/>
        <v>3000</v>
      </c>
      <c r="T123" s="16">
        <f>SUM(H123:S123)</f>
        <v>36000</v>
      </c>
      <c r="U123" s="95"/>
      <c r="V123" s="95"/>
    </row>
    <row r="124" spans="1:22" ht="12.75">
      <c r="A124" s="24"/>
      <c r="B124" s="24"/>
      <c r="C124" s="24"/>
      <c r="D124" s="24"/>
      <c r="E124" s="24"/>
      <c r="F124" s="24"/>
      <c r="G124" s="24"/>
      <c r="H124" s="25"/>
      <c r="I124" s="25"/>
      <c r="J124" s="25"/>
      <c r="K124" s="25"/>
      <c r="L124" s="25"/>
      <c r="M124" s="25"/>
      <c r="N124" s="25"/>
      <c r="O124" s="80"/>
      <c r="P124" s="25"/>
      <c r="Q124" s="25"/>
      <c r="R124" s="25"/>
      <c r="S124" s="25"/>
      <c r="T124" s="26"/>
      <c r="U124" s="26"/>
      <c r="V124" s="27"/>
    </row>
    <row r="125" spans="1:22" s="21" customFormat="1" ht="15">
      <c r="A125" s="91" t="s">
        <v>393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3"/>
    </row>
    <row r="126" spans="1:22" ht="25.5">
      <c r="A126" s="11" t="s">
        <v>143</v>
      </c>
      <c r="B126" s="11" t="s">
        <v>145</v>
      </c>
      <c r="C126" s="12" t="s">
        <v>410</v>
      </c>
      <c r="D126" s="13" t="s">
        <v>108</v>
      </c>
      <c r="E126" s="14" t="s">
        <v>296</v>
      </c>
      <c r="F126" s="18" t="s">
        <v>10</v>
      </c>
      <c r="G126" s="14">
        <v>44530</v>
      </c>
      <c r="H126" s="15">
        <v>742.58</v>
      </c>
      <c r="I126" s="15">
        <v>742.58</v>
      </c>
      <c r="J126" s="15">
        <v>742.58</v>
      </c>
      <c r="K126" s="15">
        <v>742.58</v>
      </c>
      <c r="L126" s="15">
        <v>742.58</v>
      </c>
      <c r="M126" s="15">
        <v>742.58</v>
      </c>
      <c r="N126" s="15">
        <v>742.58</v>
      </c>
      <c r="O126" s="77">
        <v>742.58</v>
      </c>
      <c r="P126" s="15">
        <v>742.58</v>
      </c>
      <c r="Q126" s="15">
        <v>742.58</v>
      </c>
      <c r="R126" s="15">
        <v>742.58</v>
      </c>
      <c r="S126" s="15">
        <v>742.58</v>
      </c>
      <c r="T126" s="16">
        <f>SUM(H126:S126)</f>
        <v>8910.960000000001</v>
      </c>
      <c r="U126" s="17" t="s">
        <v>310</v>
      </c>
      <c r="V126" s="13" t="s">
        <v>121</v>
      </c>
    </row>
    <row r="127" spans="1:22" ht="12.75">
      <c r="A127" s="94"/>
      <c r="B127" s="94"/>
      <c r="C127" s="94"/>
      <c r="D127" s="94"/>
      <c r="E127" s="94"/>
      <c r="F127" s="94"/>
      <c r="G127" s="94"/>
      <c r="H127" s="86">
        <f aca="true" t="shared" si="10" ref="H127:S127">SUM(H126:H126)</f>
        <v>742.58</v>
      </c>
      <c r="I127" s="86">
        <f t="shared" si="10"/>
        <v>742.58</v>
      </c>
      <c r="J127" s="86">
        <f t="shared" si="10"/>
        <v>742.58</v>
      </c>
      <c r="K127" s="86">
        <f t="shared" si="10"/>
        <v>742.58</v>
      </c>
      <c r="L127" s="86">
        <f t="shared" si="10"/>
        <v>742.58</v>
      </c>
      <c r="M127" s="86">
        <f t="shared" si="10"/>
        <v>742.58</v>
      </c>
      <c r="N127" s="86">
        <f t="shared" si="10"/>
        <v>742.58</v>
      </c>
      <c r="O127" s="78">
        <f t="shared" si="10"/>
        <v>742.58</v>
      </c>
      <c r="P127" s="86">
        <f t="shared" si="10"/>
        <v>742.58</v>
      </c>
      <c r="Q127" s="86">
        <f t="shared" si="10"/>
        <v>742.58</v>
      </c>
      <c r="R127" s="86">
        <f t="shared" si="10"/>
        <v>742.58</v>
      </c>
      <c r="S127" s="86">
        <f t="shared" si="10"/>
        <v>742.58</v>
      </c>
      <c r="T127" s="16">
        <f>SUM(H127:S127)</f>
        <v>8910.960000000001</v>
      </c>
      <c r="U127" s="95"/>
      <c r="V127" s="95"/>
    </row>
    <row r="128" spans="1:22" ht="12.75">
      <c r="A128" s="24"/>
      <c r="B128" s="24"/>
      <c r="C128" s="24"/>
      <c r="D128" s="24"/>
      <c r="E128" s="24"/>
      <c r="F128" s="24"/>
      <c r="G128" s="24"/>
      <c r="H128" s="25"/>
      <c r="I128" s="25"/>
      <c r="J128" s="25"/>
      <c r="K128" s="25"/>
      <c r="L128" s="25"/>
      <c r="M128" s="25"/>
      <c r="N128" s="25"/>
      <c r="O128" s="80"/>
      <c r="P128" s="25"/>
      <c r="Q128" s="25"/>
      <c r="R128" s="25"/>
      <c r="S128" s="25"/>
      <c r="T128" s="26"/>
      <c r="U128" s="26"/>
      <c r="V128" s="27"/>
    </row>
    <row r="129" spans="1:22" s="21" customFormat="1" ht="15">
      <c r="A129" s="91" t="s">
        <v>394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3"/>
    </row>
    <row r="130" spans="1:22" ht="25.5">
      <c r="A130" s="11" t="s">
        <v>143</v>
      </c>
      <c r="B130" s="11" t="s">
        <v>145</v>
      </c>
      <c r="C130" s="12" t="s">
        <v>179</v>
      </c>
      <c r="D130" s="13" t="s">
        <v>197</v>
      </c>
      <c r="E130" s="14">
        <v>43466</v>
      </c>
      <c r="F130" s="18" t="s">
        <v>34</v>
      </c>
      <c r="G130" s="14">
        <v>44926</v>
      </c>
      <c r="H130" s="15">
        <v>84</v>
      </c>
      <c r="I130" s="15">
        <v>84</v>
      </c>
      <c r="J130" s="15">
        <v>84</v>
      </c>
      <c r="K130" s="15">
        <v>84</v>
      </c>
      <c r="L130" s="15">
        <v>84</v>
      </c>
      <c r="M130" s="15">
        <v>84</v>
      </c>
      <c r="N130" s="15">
        <v>84</v>
      </c>
      <c r="O130" s="77">
        <v>84</v>
      </c>
      <c r="P130" s="15">
        <v>84</v>
      </c>
      <c r="Q130" s="15">
        <v>84</v>
      </c>
      <c r="R130" s="15">
        <v>84</v>
      </c>
      <c r="S130" s="15">
        <v>84</v>
      </c>
      <c r="T130" s="16">
        <f>SUM(H130:S130)</f>
        <v>1008</v>
      </c>
      <c r="U130" s="17" t="s">
        <v>307</v>
      </c>
      <c r="V130" s="13" t="s">
        <v>121</v>
      </c>
    </row>
    <row r="131" spans="1:22" ht="25.5">
      <c r="A131" s="11" t="s">
        <v>143</v>
      </c>
      <c r="B131" s="11" t="s">
        <v>145</v>
      </c>
      <c r="C131" s="12" t="s">
        <v>331</v>
      </c>
      <c r="D131" s="13" t="s">
        <v>332</v>
      </c>
      <c r="E131" s="14">
        <v>43885</v>
      </c>
      <c r="F131" s="18" t="s">
        <v>9</v>
      </c>
      <c r="G131" s="14">
        <v>44616</v>
      </c>
      <c r="H131" s="15">
        <v>16620</v>
      </c>
      <c r="I131" s="15">
        <v>17336.32</v>
      </c>
      <c r="J131" s="15">
        <v>17336.32</v>
      </c>
      <c r="K131" s="15">
        <v>17336.32</v>
      </c>
      <c r="L131" s="15">
        <v>17336.32</v>
      </c>
      <c r="M131" s="15">
        <v>17336.32</v>
      </c>
      <c r="N131" s="15">
        <v>17336.32</v>
      </c>
      <c r="O131" s="77">
        <v>20512.56</v>
      </c>
      <c r="P131" s="15">
        <v>20512.56</v>
      </c>
      <c r="Q131" s="15">
        <v>22358.69</v>
      </c>
      <c r="R131" s="15">
        <v>22358.69</v>
      </c>
      <c r="S131" s="15">
        <v>22358.69</v>
      </c>
      <c r="T131" s="16">
        <f>SUM(H131:S131)</f>
        <v>228739.11000000002</v>
      </c>
      <c r="U131" s="17" t="s">
        <v>308</v>
      </c>
      <c r="V131" s="13" t="s">
        <v>121</v>
      </c>
    </row>
    <row r="132" spans="1:22" ht="12.75">
      <c r="A132" s="94" t="s">
        <v>0</v>
      </c>
      <c r="B132" s="94"/>
      <c r="C132" s="94"/>
      <c r="D132" s="94"/>
      <c r="E132" s="94"/>
      <c r="F132" s="94"/>
      <c r="G132" s="94"/>
      <c r="H132" s="86">
        <f aca="true" t="shared" si="11" ref="H132:S132">SUM(H130:H131)</f>
        <v>16704</v>
      </c>
      <c r="I132" s="86">
        <f t="shared" si="11"/>
        <v>17420.32</v>
      </c>
      <c r="J132" s="86">
        <f t="shared" si="11"/>
        <v>17420.32</v>
      </c>
      <c r="K132" s="86">
        <f t="shared" si="11"/>
        <v>17420.32</v>
      </c>
      <c r="L132" s="86">
        <f t="shared" si="11"/>
        <v>17420.32</v>
      </c>
      <c r="M132" s="86">
        <f t="shared" si="11"/>
        <v>17420.32</v>
      </c>
      <c r="N132" s="86">
        <f t="shared" si="11"/>
        <v>17420.32</v>
      </c>
      <c r="O132" s="78">
        <f t="shared" si="11"/>
        <v>20596.56</v>
      </c>
      <c r="P132" s="86">
        <f t="shared" si="11"/>
        <v>20596.56</v>
      </c>
      <c r="Q132" s="86">
        <f t="shared" si="11"/>
        <v>22442.69</v>
      </c>
      <c r="R132" s="86">
        <f t="shared" si="11"/>
        <v>22442.69</v>
      </c>
      <c r="S132" s="86">
        <f t="shared" si="11"/>
        <v>22442.69</v>
      </c>
      <c r="T132" s="16">
        <f>SUM(H132:S132)</f>
        <v>229747.11000000002</v>
      </c>
      <c r="U132" s="95"/>
      <c r="V132" s="95"/>
    </row>
    <row r="133" spans="1:22" ht="12.75">
      <c r="A133" s="24"/>
      <c r="B133" s="24"/>
      <c r="C133" s="24"/>
      <c r="D133" s="24"/>
      <c r="E133" s="24"/>
      <c r="F133" s="24"/>
      <c r="G133" s="24"/>
      <c r="H133" s="25"/>
      <c r="I133" s="25"/>
      <c r="J133" s="25"/>
      <c r="K133" s="25"/>
      <c r="L133" s="25"/>
      <c r="M133" s="25"/>
      <c r="N133" s="25"/>
      <c r="O133" s="80"/>
      <c r="P133" s="25"/>
      <c r="Q133" s="25"/>
      <c r="R133" s="25"/>
      <c r="S133" s="25"/>
      <c r="T133" s="26"/>
      <c r="U133" s="26"/>
      <c r="V133" s="28"/>
    </row>
    <row r="134" spans="1:22" s="21" customFormat="1" ht="15">
      <c r="A134" s="91" t="s">
        <v>430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3"/>
    </row>
    <row r="135" spans="1:22" ht="25.5">
      <c r="A135" s="11" t="s">
        <v>143</v>
      </c>
      <c r="B135" s="11" t="s">
        <v>145</v>
      </c>
      <c r="C135" s="12" t="s">
        <v>439</v>
      </c>
      <c r="D135" s="13" t="s">
        <v>440</v>
      </c>
      <c r="E135" s="14">
        <v>44228</v>
      </c>
      <c r="F135" s="75" t="s">
        <v>430</v>
      </c>
      <c r="G135" s="14">
        <v>44742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4425</v>
      </c>
      <c r="N135" s="15">
        <v>15767.8</v>
      </c>
      <c r="O135" s="77">
        <v>0</v>
      </c>
      <c r="P135" s="15">
        <v>0</v>
      </c>
      <c r="Q135" s="15">
        <v>0</v>
      </c>
      <c r="R135" s="15">
        <v>334.6</v>
      </c>
      <c r="S135" s="15">
        <v>0</v>
      </c>
      <c r="T135" s="16">
        <f>SUM(H135:S135)</f>
        <v>20527.399999999998</v>
      </c>
      <c r="U135" s="17" t="s">
        <v>314</v>
      </c>
      <c r="V135" s="13" t="s">
        <v>121</v>
      </c>
    </row>
    <row r="136" spans="1:22" ht="12.75">
      <c r="A136" s="94" t="s">
        <v>0</v>
      </c>
      <c r="B136" s="94"/>
      <c r="C136" s="94"/>
      <c r="D136" s="94"/>
      <c r="E136" s="94"/>
      <c r="F136" s="94"/>
      <c r="G136" s="94"/>
      <c r="H136" s="86">
        <f>SUM(H135)</f>
        <v>0</v>
      </c>
      <c r="I136" s="86">
        <f aca="true" t="shared" si="12" ref="I136:S136">SUM(I135)</f>
        <v>0</v>
      </c>
      <c r="J136" s="86">
        <f t="shared" si="12"/>
        <v>0</v>
      </c>
      <c r="K136" s="86">
        <f t="shared" si="12"/>
        <v>0</v>
      </c>
      <c r="L136" s="86">
        <f t="shared" si="12"/>
        <v>0</v>
      </c>
      <c r="M136" s="86">
        <f t="shared" si="12"/>
        <v>4425</v>
      </c>
      <c r="N136" s="86">
        <f t="shared" si="12"/>
        <v>15767.8</v>
      </c>
      <c r="O136" s="78">
        <f t="shared" si="12"/>
        <v>0</v>
      </c>
      <c r="P136" s="86">
        <f t="shared" si="12"/>
        <v>0</v>
      </c>
      <c r="Q136" s="86">
        <f t="shared" si="12"/>
        <v>0</v>
      </c>
      <c r="R136" s="86">
        <f t="shared" si="12"/>
        <v>334.6</v>
      </c>
      <c r="S136" s="86">
        <f t="shared" si="12"/>
        <v>0</v>
      </c>
      <c r="T136" s="16">
        <f>SUM(H136:S136)</f>
        <v>20527.399999999998</v>
      </c>
      <c r="U136" s="95"/>
      <c r="V136" s="95"/>
    </row>
    <row r="137" spans="1:22" ht="12.75">
      <c r="A137" s="24"/>
      <c r="B137" s="24"/>
      <c r="C137" s="24"/>
      <c r="D137" s="24"/>
      <c r="E137" s="24"/>
      <c r="F137" s="24"/>
      <c r="G137" s="24"/>
      <c r="H137" s="25"/>
      <c r="I137" s="25"/>
      <c r="J137" s="25"/>
      <c r="K137" s="25"/>
      <c r="L137" s="25"/>
      <c r="M137" s="25"/>
      <c r="N137" s="25"/>
      <c r="O137" s="80"/>
      <c r="P137" s="25"/>
      <c r="Q137" s="25"/>
      <c r="R137" s="25"/>
      <c r="S137" s="25"/>
      <c r="T137" s="26"/>
      <c r="U137" s="26"/>
      <c r="V137" s="27"/>
    </row>
    <row r="138" spans="1:22" s="21" customFormat="1" ht="15">
      <c r="A138" s="91" t="s">
        <v>395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3"/>
    </row>
    <row r="139" spans="1:22" ht="38.25">
      <c r="A139" s="11" t="s">
        <v>143</v>
      </c>
      <c r="B139" s="11" t="s">
        <v>145</v>
      </c>
      <c r="C139" s="12" t="s">
        <v>263</v>
      </c>
      <c r="D139" s="13" t="s">
        <v>264</v>
      </c>
      <c r="E139" s="14">
        <v>43556</v>
      </c>
      <c r="F139" s="18" t="s">
        <v>265</v>
      </c>
      <c r="G139" s="14">
        <v>44652</v>
      </c>
      <c r="H139" s="15">
        <v>170</v>
      </c>
      <c r="I139" s="15">
        <v>170</v>
      </c>
      <c r="J139" s="15">
        <v>170</v>
      </c>
      <c r="K139" s="15">
        <v>170</v>
      </c>
      <c r="L139" s="15">
        <v>170</v>
      </c>
      <c r="M139" s="15">
        <v>170</v>
      </c>
      <c r="N139" s="15">
        <v>170</v>
      </c>
      <c r="O139" s="77">
        <v>170</v>
      </c>
      <c r="P139" s="15">
        <v>170</v>
      </c>
      <c r="Q139" s="15">
        <v>170</v>
      </c>
      <c r="R139" s="15">
        <v>170</v>
      </c>
      <c r="S139" s="15">
        <v>0</v>
      </c>
      <c r="T139" s="16">
        <f>SUM(H139:S139)</f>
        <v>1870</v>
      </c>
      <c r="U139" s="17" t="s">
        <v>307</v>
      </c>
      <c r="V139" s="13" t="s">
        <v>121</v>
      </c>
    </row>
    <row r="140" spans="1:22" ht="25.5">
      <c r="A140" s="11" t="s">
        <v>143</v>
      </c>
      <c r="B140" s="22" t="s">
        <v>366</v>
      </c>
      <c r="C140" s="12" t="s">
        <v>367</v>
      </c>
      <c r="D140" s="13" t="s">
        <v>402</v>
      </c>
      <c r="E140" s="14">
        <v>44013</v>
      </c>
      <c r="F140" s="18" t="s">
        <v>403</v>
      </c>
      <c r="G140" s="14">
        <v>44743</v>
      </c>
      <c r="H140" s="15">
        <v>462</v>
      </c>
      <c r="I140" s="15">
        <v>432</v>
      </c>
      <c r="J140" s="15">
        <v>450</v>
      </c>
      <c r="K140" s="15">
        <v>468</v>
      </c>
      <c r="L140" s="15">
        <v>414</v>
      </c>
      <c r="M140" s="15">
        <v>450</v>
      </c>
      <c r="N140" s="15">
        <v>468</v>
      </c>
      <c r="O140" s="77">
        <v>468</v>
      </c>
      <c r="P140" s="15">
        <v>432</v>
      </c>
      <c r="Q140" s="15">
        <v>468</v>
      </c>
      <c r="R140" s="15">
        <v>468</v>
      </c>
      <c r="S140" s="15">
        <v>468</v>
      </c>
      <c r="T140" s="16">
        <f>SUM(H140:S140)</f>
        <v>5448</v>
      </c>
      <c r="U140" s="17" t="s">
        <v>314</v>
      </c>
      <c r="V140" s="13" t="s">
        <v>121</v>
      </c>
    </row>
    <row r="141" spans="1:22" ht="25.5">
      <c r="A141" s="11" t="s">
        <v>143</v>
      </c>
      <c r="B141" s="22" t="s">
        <v>301</v>
      </c>
      <c r="C141" s="12" t="s">
        <v>200</v>
      </c>
      <c r="D141" s="13" t="s">
        <v>302</v>
      </c>
      <c r="E141" s="14">
        <v>43435</v>
      </c>
      <c r="F141" s="18" t="s">
        <v>201</v>
      </c>
      <c r="G141" s="14">
        <v>44561</v>
      </c>
      <c r="H141" s="15">
        <v>0</v>
      </c>
      <c r="I141" s="15">
        <v>1366</v>
      </c>
      <c r="J141" s="15">
        <f>75.95+75.95</f>
        <v>151.9</v>
      </c>
      <c r="K141" s="15">
        <f>683+75.95</f>
        <v>758.95</v>
      </c>
      <c r="L141" s="15">
        <v>0</v>
      </c>
      <c r="M141" s="15">
        <f>683+75.95</f>
        <v>758.95</v>
      </c>
      <c r="N141" s="15">
        <f>151.9+683</f>
        <v>834.9</v>
      </c>
      <c r="O141" s="77">
        <f>75.95+758.95+151.9</f>
        <v>986.8000000000001</v>
      </c>
      <c r="P141" s="15">
        <f>151.9+683</f>
        <v>834.9</v>
      </c>
      <c r="Q141" s="15">
        <v>910.85</v>
      </c>
      <c r="R141" s="15">
        <f>75.95+75.95+151.9</f>
        <v>303.8</v>
      </c>
      <c r="S141" s="15">
        <f>683+151.9</f>
        <v>834.9</v>
      </c>
      <c r="T141" s="16">
        <f>SUM(H141:S141)</f>
        <v>7741.95</v>
      </c>
      <c r="U141" s="17" t="s">
        <v>314</v>
      </c>
      <c r="V141" s="13" t="s">
        <v>121</v>
      </c>
    </row>
    <row r="142" spans="1:22" ht="12.75">
      <c r="A142" s="94" t="s">
        <v>0</v>
      </c>
      <c r="B142" s="94"/>
      <c r="C142" s="94"/>
      <c r="D142" s="94"/>
      <c r="E142" s="94"/>
      <c r="F142" s="94"/>
      <c r="G142" s="94"/>
      <c r="H142" s="86">
        <f aca="true" t="shared" si="13" ref="H142:S142">SUM(H139:H141)</f>
        <v>632</v>
      </c>
      <c r="I142" s="86">
        <f t="shared" si="13"/>
        <v>1968</v>
      </c>
      <c r="J142" s="86">
        <f t="shared" si="13"/>
        <v>771.9</v>
      </c>
      <c r="K142" s="86">
        <f t="shared" si="13"/>
        <v>1396.95</v>
      </c>
      <c r="L142" s="86">
        <f t="shared" si="13"/>
        <v>584</v>
      </c>
      <c r="M142" s="86">
        <f t="shared" si="13"/>
        <v>1378.95</v>
      </c>
      <c r="N142" s="86">
        <f t="shared" si="13"/>
        <v>1472.9</v>
      </c>
      <c r="O142" s="78">
        <f t="shared" si="13"/>
        <v>1624.8000000000002</v>
      </c>
      <c r="P142" s="86">
        <f t="shared" si="13"/>
        <v>1436.9</v>
      </c>
      <c r="Q142" s="86">
        <f t="shared" si="13"/>
        <v>1548.85</v>
      </c>
      <c r="R142" s="86">
        <f t="shared" si="13"/>
        <v>941.8</v>
      </c>
      <c r="S142" s="86">
        <f t="shared" si="13"/>
        <v>1302.9</v>
      </c>
      <c r="T142" s="16">
        <f>SUM(H142:S142)</f>
        <v>15059.949999999999</v>
      </c>
      <c r="U142" s="95"/>
      <c r="V142" s="95"/>
    </row>
    <row r="143" spans="1:22" ht="12.75">
      <c r="A143" s="24"/>
      <c r="B143" s="24"/>
      <c r="C143" s="24"/>
      <c r="D143" s="24"/>
      <c r="E143" s="24"/>
      <c r="F143" s="24"/>
      <c r="G143" s="24"/>
      <c r="H143" s="25"/>
      <c r="I143" s="25"/>
      <c r="J143" s="25"/>
      <c r="K143" s="25"/>
      <c r="L143" s="25"/>
      <c r="M143" s="25"/>
      <c r="N143" s="25"/>
      <c r="O143" s="80"/>
      <c r="P143" s="25"/>
      <c r="Q143" s="25"/>
      <c r="R143" s="25"/>
      <c r="S143" s="25"/>
      <c r="T143" s="26"/>
      <c r="U143" s="26"/>
      <c r="V143" s="27"/>
    </row>
    <row r="144" spans="1:22" s="21" customFormat="1" ht="15">
      <c r="A144" s="91" t="s">
        <v>396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3"/>
    </row>
    <row r="145" spans="1:22" ht="38.25">
      <c r="A145" s="13" t="s">
        <v>143</v>
      </c>
      <c r="B145" s="13" t="s">
        <v>145</v>
      </c>
      <c r="C145" s="12" t="s">
        <v>132</v>
      </c>
      <c r="D145" s="13" t="s">
        <v>131</v>
      </c>
      <c r="E145" s="14">
        <v>43450</v>
      </c>
      <c r="F145" s="29" t="s">
        <v>36</v>
      </c>
      <c r="G145" s="14">
        <v>44545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77">
        <v>0</v>
      </c>
      <c r="P145" s="15">
        <v>0</v>
      </c>
      <c r="Q145" s="15">
        <v>0</v>
      </c>
      <c r="R145" s="15">
        <v>0</v>
      </c>
      <c r="S145" s="15"/>
      <c r="T145" s="16">
        <f>SUM(H145:S145)</f>
        <v>0</v>
      </c>
      <c r="U145" s="17" t="s">
        <v>309</v>
      </c>
      <c r="V145" s="13" t="s">
        <v>121</v>
      </c>
    </row>
    <row r="146" spans="1:22" ht="12.75">
      <c r="A146" s="97" t="s">
        <v>0</v>
      </c>
      <c r="B146" s="96"/>
      <c r="C146" s="96"/>
      <c r="D146" s="96"/>
      <c r="E146" s="96"/>
      <c r="F146" s="96"/>
      <c r="G146" s="98"/>
      <c r="H146" s="86">
        <f>SUM(H145:H145)</f>
        <v>0</v>
      </c>
      <c r="I146" s="86">
        <f aca="true" t="shared" si="14" ref="I146:S146">SUM(I145:I145)</f>
        <v>0</v>
      </c>
      <c r="J146" s="86">
        <f t="shared" si="14"/>
        <v>0</v>
      </c>
      <c r="K146" s="86">
        <f t="shared" si="14"/>
        <v>0</v>
      </c>
      <c r="L146" s="86">
        <f t="shared" si="14"/>
        <v>0</v>
      </c>
      <c r="M146" s="86">
        <f t="shared" si="14"/>
        <v>0</v>
      </c>
      <c r="N146" s="86">
        <f t="shared" si="14"/>
        <v>0</v>
      </c>
      <c r="O146" s="78">
        <f t="shared" si="14"/>
        <v>0</v>
      </c>
      <c r="P146" s="86">
        <f t="shared" si="14"/>
        <v>0</v>
      </c>
      <c r="Q146" s="86">
        <f t="shared" si="14"/>
        <v>0</v>
      </c>
      <c r="R146" s="86">
        <f t="shared" si="14"/>
        <v>0</v>
      </c>
      <c r="S146" s="86">
        <f t="shared" si="14"/>
        <v>0</v>
      </c>
      <c r="T146" s="16">
        <f>SUM(H146:S146)</f>
        <v>0</v>
      </c>
      <c r="U146" s="95"/>
      <c r="V146" s="95"/>
    </row>
    <row r="147" spans="1:22" ht="12.75">
      <c r="A147" s="30"/>
      <c r="B147" s="30"/>
      <c r="C147" s="31"/>
      <c r="D147" s="28"/>
      <c r="E147" s="28"/>
      <c r="F147" s="32"/>
      <c r="G147" s="28"/>
      <c r="H147" s="25"/>
      <c r="I147" s="25"/>
      <c r="J147" s="25"/>
      <c r="K147" s="25"/>
      <c r="L147" s="25"/>
      <c r="M147" s="25"/>
      <c r="N147" s="25"/>
      <c r="O147" s="80"/>
      <c r="P147" s="25"/>
      <c r="Q147" s="25"/>
      <c r="R147" s="25"/>
      <c r="S147" s="25"/>
      <c r="T147" s="26"/>
      <c r="U147" s="26"/>
      <c r="V147" s="27"/>
    </row>
    <row r="148" spans="1:22" s="21" customFormat="1" ht="15">
      <c r="A148" s="91" t="s">
        <v>397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3"/>
    </row>
    <row r="149" spans="1:22" ht="25.5" customHeight="1">
      <c r="A149" s="11" t="s">
        <v>143</v>
      </c>
      <c r="B149" s="13" t="s">
        <v>145</v>
      </c>
      <c r="C149" s="12" t="s">
        <v>178</v>
      </c>
      <c r="D149" s="13" t="s">
        <v>205</v>
      </c>
      <c r="E149" s="14">
        <v>43467</v>
      </c>
      <c r="F149" s="12" t="s">
        <v>12</v>
      </c>
      <c r="G149" s="14">
        <v>44722</v>
      </c>
      <c r="H149" s="15">
        <v>9026.84</v>
      </c>
      <c r="I149" s="15">
        <v>7394.24</v>
      </c>
      <c r="J149" s="15">
        <v>7700.09</v>
      </c>
      <c r="K149" s="15">
        <v>0</v>
      </c>
      <c r="L149" s="15">
        <v>0</v>
      </c>
      <c r="M149" s="15">
        <v>6014.17</v>
      </c>
      <c r="N149" s="15">
        <v>8087.38</v>
      </c>
      <c r="O149" s="77">
        <v>8053.4</v>
      </c>
      <c r="P149" s="15">
        <v>7819.16</v>
      </c>
      <c r="Q149" s="15">
        <v>8417.63</v>
      </c>
      <c r="R149" s="15">
        <v>8390.86</v>
      </c>
      <c r="S149" s="15">
        <v>8340.35</v>
      </c>
      <c r="T149" s="16">
        <f>SUM(H149:S149)</f>
        <v>79244.12</v>
      </c>
      <c r="U149" s="17" t="s">
        <v>307</v>
      </c>
      <c r="V149" s="13" t="s">
        <v>121</v>
      </c>
    </row>
    <row r="150" spans="1:22" ht="25.5" customHeight="1">
      <c r="A150" s="11" t="s">
        <v>336</v>
      </c>
      <c r="B150" s="13" t="s">
        <v>145</v>
      </c>
      <c r="C150" s="12" t="s">
        <v>437</v>
      </c>
      <c r="D150" s="13" t="s">
        <v>438</v>
      </c>
      <c r="E150" s="14">
        <v>44287</v>
      </c>
      <c r="F150" s="12" t="s">
        <v>12</v>
      </c>
      <c r="G150" s="14">
        <v>44651</v>
      </c>
      <c r="H150" s="15">
        <v>0</v>
      </c>
      <c r="I150" s="15">
        <v>0</v>
      </c>
      <c r="J150" s="15">
        <v>0</v>
      </c>
      <c r="K150" s="15">
        <v>4768.98</v>
      </c>
      <c r="L150" s="15">
        <v>5083.2</v>
      </c>
      <c r="M150" s="15">
        <v>1817.2</v>
      </c>
      <c r="N150" s="15">
        <v>0</v>
      </c>
      <c r="O150" s="77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>SUM(H150:S150)</f>
        <v>11669.380000000001</v>
      </c>
      <c r="U150" s="17" t="s">
        <v>307</v>
      </c>
      <c r="V150" s="13" t="s">
        <v>121</v>
      </c>
    </row>
    <row r="151" spans="1:22" ht="12.75">
      <c r="A151" s="97" t="s">
        <v>0</v>
      </c>
      <c r="B151" s="96"/>
      <c r="C151" s="96"/>
      <c r="D151" s="96"/>
      <c r="E151" s="96"/>
      <c r="F151" s="96"/>
      <c r="G151" s="98"/>
      <c r="H151" s="86">
        <f>SUM(H149:H150)</f>
        <v>9026.84</v>
      </c>
      <c r="I151" s="86">
        <f aca="true" t="shared" si="15" ref="I151:S151">SUM(I149:I150)</f>
        <v>7394.24</v>
      </c>
      <c r="J151" s="86">
        <f t="shared" si="15"/>
        <v>7700.09</v>
      </c>
      <c r="K151" s="86">
        <f t="shared" si="15"/>
        <v>4768.98</v>
      </c>
      <c r="L151" s="86">
        <f t="shared" si="15"/>
        <v>5083.2</v>
      </c>
      <c r="M151" s="86">
        <f t="shared" si="15"/>
        <v>7831.37</v>
      </c>
      <c r="N151" s="86">
        <f t="shared" si="15"/>
        <v>8087.38</v>
      </c>
      <c r="O151" s="78">
        <f t="shared" si="15"/>
        <v>8053.4</v>
      </c>
      <c r="P151" s="86">
        <f t="shared" si="15"/>
        <v>7819.16</v>
      </c>
      <c r="Q151" s="86">
        <f t="shared" si="15"/>
        <v>8417.63</v>
      </c>
      <c r="R151" s="86">
        <f t="shared" si="15"/>
        <v>8390.86</v>
      </c>
      <c r="S151" s="86">
        <f t="shared" si="15"/>
        <v>8340.35</v>
      </c>
      <c r="T151" s="16">
        <f>SUM(H151:S151)</f>
        <v>90913.50000000001</v>
      </c>
      <c r="U151" s="95"/>
      <c r="V151" s="95"/>
    </row>
    <row r="152" spans="1:22" ht="12.75">
      <c r="A152" s="30"/>
      <c r="B152" s="30"/>
      <c r="C152" s="31"/>
      <c r="D152" s="28"/>
      <c r="E152" s="28"/>
      <c r="F152" s="32"/>
      <c r="G152" s="28"/>
      <c r="H152" s="25"/>
      <c r="I152" s="25"/>
      <c r="J152" s="25"/>
      <c r="K152" s="25"/>
      <c r="L152" s="25"/>
      <c r="M152" s="25"/>
      <c r="N152" s="25"/>
      <c r="O152" s="80"/>
      <c r="P152" s="25"/>
      <c r="Q152" s="25"/>
      <c r="R152" s="25"/>
      <c r="S152" s="25"/>
      <c r="T152" s="26"/>
      <c r="U152" s="26"/>
      <c r="V152" s="27"/>
    </row>
    <row r="153" spans="1:22" s="21" customFormat="1" ht="15">
      <c r="A153" s="91" t="s">
        <v>398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3"/>
    </row>
    <row r="154" spans="1:22" ht="25.5">
      <c r="A154" s="11" t="s">
        <v>336</v>
      </c>
      <c r="B154" s="13" t="s">
        <v>145</v>
      </c>
      <c r="C154" s="12" t="s">
        <v>272</v>
      </c>
      <c r="D154" s="13" t="s">
        <v>273</v>
      </c>
      <c r="E154" s="14">
        <v>43617</v>
      </c>
      <c r="F154" s="12" t="s">
        <v>318</v>
      </c>
      <c r="G154" s="14">
        <v>44195</v>
      </c>
      <c r="H154" s="15">
        <v>2666.67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77">
        <v>0</v>
      </c>
      <c r="P154" s="15">
        <v>0</v>
      </c>
      <c r="Q154" s="15">
        <v>0</v>
      </c>
      <c r="R154" s="15">
        <v>0</v>
      </c>
      <c r="S154" s="15">
        <v>0</v>
      </c>
      <c r="T154" s="16">
        <f>SUM(H154:S154)</f>
        <v>2666.67</v>
      </c>
      <c r="U154" s="17" t="s">
        <v>307</v>
      </c>
      <c r="V154" s="13" t="s">
        <v>121</v>
      </c>
    </row>
    <row r="155" spans="1:22" ht="12.75">
      <c r="A155" s="94" t="s">
        <v>0</v>
      </c>
      <c r="B155" s="94"/>
      <c r="C155" s="94"/>
      <c r="D155" s="94"/>
      <c r="E155" s="94"/>
      <c r="F155" s="94"/>
      <c r="G155" s="94"/>
      <c r="H155" s="86">
        <f>SUM(H154)</f>
        <v>2666.67</v>
      </c>
      <c r="I155" s="86">
        <f aca="true" t="shared" si="16" ref="I155:S155">SUM(I154)</f>
        <v>0</v>
      </c>
      <c r="J155" s="86">
        <f t="shared" si="16"/>
        <v>0</v>
      </c>
      <c r="K155" s="86">
        <f t="shared" si="16"/>
        <v>0</v>
      </c>
      <c r="L155" s="86">
        <f t="shared" si="16"/>
        <v>0</v>
      </c>
      <c r="M155" s="86">
        <f t="shared" si="16"/>
        <v>0</v>
      </c>
      <c r="N155" s="86">
        <f t="shared" si="16"/>
        <v>0</v>
      </c>
      <c r="O155" s="78">
        <f t="shared" si="16"/>
        <v>0</v>
      </c>
      <c r="P155" s="86">
        <f t="shared" si="16"/>
        <v>0</v>
      </c>
      <c r="Q155" s="86">
        <f t="shared" si="16"/>
        <v>0</v>
      </c>
      <c r="R155" s="86">
        <f t="shared" si="16"/>
        <v>0</v>
      </c>
      <c r="S155" s="86">
        <f t="shared" si="16"/>
        <v>0</v>
      </c>
      <c r="T155" s="16">
        <f>SUM(H155:S155)</f>
        <v>2666.67</v>
      </c>
      <c r="U155" s="95"/>
      <c r="V155" s="95"/>
    </row>
    <row r="156" spans="1:22" ht="12.75">
      <c r="A156" s="87"/>
      <c r="B156" s="87"/>
      <c r="C156" s="87"/>
      <c r="D156" s="87"/>
      <c r="E156" s="87"/>
      <c r="F156" s="87"/>
      <c r="G156" s="87"/>
      <c r="H156" s="55"/>
      <c r="I156" s="55"/>
      <c r="J156" s="55"/>
      <c r="K156" s="55"/>
      <c r="L156" s="55"/>
      <c r="M156" s="55"/>
      <c r="N156" s="55"/>
      <c r="O156" s="81"/>
      <c r="P156" s="55"/>
      <c r="Q156" s="55"/>
      <c r="R156" s="55"/>
      <c r="S156" s="55"/>
      <c r="T156" s="56"/>
      <c r="U156" s="56"/>
      <c r="V156" s="57"/>
    </row>
    <row r="157" spans="1:22" s="21" customFormat="1" ht="15">
      <c r="A157" s="91" t="s">
        <v>399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3"/>
    </row>
    <row r="158" spans="1:22" ht="25.5">
      <c r="A158" s="11" t="s">
        <v>336</v>
      </c>
      <c r="B158" s="11" t="s">
        <v>145</v>
      </c>
      <c r="C158" s="12" t="s">
        <v>174</v>
      </c>
      <c r="D158" s="13" t="s">
        <v>130</v>
      </c>
      <c r="E158" s="14">
        <v>43435</v>
      </c>
      <c r="F158" s="12" t="s">
        <v>129</v>
      </c>
      <c r="G158" s="14">
        <v>44227</v>
      </c>
      <c r="H158" s="15">
        <v>16000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77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 aca="true" t="shared" si="17" ref="T158:T163">SUM(H158:S158)</f>
        <v>16000</v>
      </c>
      <c r="U158" s="17" t="s">
        <v>307</v>
      </c>
      <c r="V158" s="13" t="s">
        <v>121</v>
      </c>
    </row>
    <row r="159" spans="1:22" ht="38.25">
      <c r="A159" s="11" t="s">
        <v>143</v>
      </c>
      <c r="B159" s="11" t="s">
        <v>145</v>
      </c>
      <c r="C159" s="12" t="s">
        <v>202</v>
      </c>
      <c r="D159" s="13" t="s">
        <v>203</v>
      </c>
      <c r="E159" s="14">
        <v>43435</v>
      </c>
      <c r="F159" s="33" t="s">
        <v>204</v>
      </c>
      <c r="G159" s="14">
        <v>44895</v>
      </c>
      <c r="H159" s="15">
        <v>1750</v>
      </c>
      <c r="I159" s="15">
        <v>1750</v>
      </c>
      <c r="J159" s="15">
        <v>1750</v>
      </c>
      <c r="K159" s="15">
        <v>1500</v>
      </c>
      <c r="L159" s="15">
        <v>1500</v>
      </c>
      <c r="M159" s="15">
        <v>1500</v>
      </c>
      <c r="N159" s="15">
        <v>1500</v>
      </c>
      <c r="O159" s="77">
        <v>1500</v>
      </c>
      <c r="P159" s="15">
        <v>1500</v>
      </c>
      <c r="Q159" s="15">
        <v>1500</v>
      </c>
      <c r="R159" s="15">
        <v>1500</v>
      </c>
      <c r="S159" s="15">
        <v>1500</v>
      </c>
      <c r="T159" s="16">
        <f t="shared" si="17"/>
        <v>18750</v>
      </c>
      <c r="U159" s="17" t="s">
        <v>310</v>
      </c>
      <c r="V159" s="13" t="s">
        <v>121</v>
      </c>
    </row>
    <row r="160" spans="1:22" ht="25.5">
      <c r="A160" s="11" t="s">
        <v>143</v>
      </c>
      <c r="B160" s="11" t="s">
        <v>145</v>
      </c>
      <c r="C160" s="12" t="s">
        <v>374</v>
      </c>
      <c r="D160" s="13" t="s">
        <v>375</v>
      </c>
      <c r="E160" s="14">
        <v>44075</v>
      </c>
      <c r="F160" s="33" t="s">
        <v>376</v>
      </c>
      <c r="G160" s="14">
        <v>44804</v>
      </c>
      <c r="H160" s="15">
        <v>10000</v>
      </c>
      <c r="I160" s="15">
        <v>10000</v>
      </c>
      <c r="J160" s="15">
        <v>10000</v>
      </c>
      <c r="K160" s="15">
        <v>10000</v>
      </c>
      <c r="L160" s="15">
        <v>10000</v>
      </c>
      <c r="M160" s="15">
        <v>10000</v>
      </c>
      <c r="N160" s="15">
        <v>10000</v>
      </c>
      <c r="O160" s="77">
        <v>10000</v>
      </c>
      <c r="P160" s="15">
        <v>10979.96</v>
      </c>
      <c r="Q160" s="15">
        <v>10979.96</v>
      </c>
      <c r="R160" s="15">
        <v>10979.96</v>
      </c>
      <c r="S160" s="15">
        <v>10979.96</v>
      </c>
      <c r="T160" s="16">
        <f t="shared" si="17"/>
        <v>123919.83999999997</v>
      </c>
      <c r="U160" s="17" t="s">
        <v>310</v>
      </c>
      <c r="V160" s="13" t="s">
        <v>121</v>
      </c>
    </row>
    <row r="161" spans="1:22" ht="23.25" customHeight="1">
      <c r="A161" s="11" t="s">
        <v>336</v>
      </c>
      <c r="B161" s="11" t="s">
        <v>145</v>
      </c>
      <c r="C161" s="12" t="s">
        <v>444</v>
      </c>
      <c r="D161" s="13" t="s">
        <v>442</v>
      </c>
      <c r="E161" s="14">
        <v>44329</v>
      </c>
      <c r="F161" s="33" t="s">
        <v>443</v>
      </c>
      <c r="G161" s="14">
        <v>44408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881</v>
      </c>
      <c r="O161" s="77">
        <v>0</v>
      </c>
      <c r="P161" s="15">
        <v>0</v>
      </c>
      <c r="Q161" s="15">
        <v>0</v>
      </c>
      <c r="R161" s="15">
        <v>0</v>
      </c>
      <c r="S161" s="15">
        <v>0</v>
      </c>
      <c r="T161" s="16">
        <f t="shared" si="17"/>
        <v>881</v>
      </c>
      <c r="U161" s="17" t="s">
        <v>457</v>
      </c>
      <c r="V161" s="13" t="s">
        <v>121</v>
      </c>
    </row>
    <row r="162" spans="1:22" ht="25.5">
      <c r="A162" s="11" t="s">
        <v>143</v>
      </c>
      <c r="B162" s="11" t="s">
        <v>145</v>
      </c>
      <c r="C162" s="12" t="s">
        <v>359</v>
      </c>
      <c r="D162" s="13" t="s">
        <v>360</v>
      </c>
      <c r="E162" s="14">
        <v>43983</v>
      </c>
      <c r="F162" s="33" t="s">
        <v>404</v>
      </c>
      <c r="G162" s="14">
        <v>44712</v>
      </c>
      <c r="H162" s="15">
        <v>1850</v>
      </c>
      <c r="I162" s="15">
        <v>1850</v>
      </c>
      <c r="J162" s="15">
        <v>1850</v>
      </c>
      <c r="K162" s="15">
        <v>1850</v>
      </c>
      <c r="L162" s="15">
        <v>1850</v>
      </c>
      <c r="M162" s="15">
        <v>1850</v>
      </c>
      <c r="N162" s="15">
        <v>1850</v>
      </c>
      <c r="O162" s="77">
        <v>1850</v>
      </c>
      <c r="P162" s="15">
        <v>1850</v>
      </c>
      <c r="Q162" s="15">
        <v>1850</v>
      </c>
      <c r="R162" s="15">
        <v>1850</v>
      </c>
      <c r="S162" s="15">
        <v>1850</v>
      </c>
      <c r="T162" s="16">
        <f t="shared" si="17"/>
        <v>22200</v>
      </c>
      <c r="U162" s="17" t="s">
        <v>361</v>
      </c>
      <c r="V162" s="13" t="s">
        <v>121</v>
      </c>
    </row>
    <row r="163" spans="1:22" ht="12.75">
      <c r="A163" s="94" t="s">
        <v>0</v>
      </c>
      <c r="B163" s="94"/>
      <c r="C163" s="94"/>
      <c r="D163" s="94"/>
      <c r="E163" s="94"/>
      <c r="F163" s="94"/>
      <c r="G163" s="94"/>
      <c r="H163" s="86">
        <f aca="true" t="shared" si="18" ref="H163:S163">SUM(H158:H162)</f>
        <v>29600</v>
      </c>
      <c r="I163" s="86">
        <f t="shared" si="18"/>
        <v>13600</v>
      </c>
      <c r="J163" s="86">
        <f t="shared" si="18"/>
        <v>13600</v>
      </c>
      <c r="K163" s="86">
        <f t="shared" si="18"/>
        <v>13350</v>
      </c>
      <c r="L163" s="86">
        <f t="shared" si="18"/>
        <v>13350</v>
      </c>
      <c r="M163" s="86">
        <f t="shared" si="18"/>
        <v>13350</v>
      </c>
      <c r="N163" s="86">
        <f t="shared" si="18"/>
        <v>14231</v>
      </c>
      <c r="O163" s="78">
        <f t="shared" si="18"/>
        <v>13350</v>
      </c>
      <c r="P163" s="86">
        <f t="shared" si="18"/>
        <v>14329.96</v>
      </c>
      <c r="Q163" s="86">
        <f t="shared" si="18"/>
        <v>14329.96</v>
      </c>
      <c r="R163" s="86">
        <f t="shared" si="18"/>
        <v>14329.96</v>
      </c>
      <c r="S163" s="86">
        <f t="shared" si="18"/>
        <v>14329.96</v>
      </c>
      <c r="T163" s="16">
        <f t="shared" si="17"/>
        <v>181750.83999999997</v>
      </c>
      <c r="U163" s="95"/>
      <c r="V163" s="95"/>
    </row>
    <row r="164" spans="1:22" ht="12.75">
      <c r="A164" s="34"/>
      <c r="B164" s="30"/>
      <c r="C164" s="31"/>
      <c r="D164" s="28"/>
      <c r="E164" s="28"/>
      <c r="F164" s="32"/>
      <c r="G164" s="28"/>
      <c r="H164" s="25"/>
      <c r="I164" s="25"/>
      <c r="J164" s="25"/>
      <c r="K164" s="25"/>
      <c r="L164" s="25"/>
      <c r="M164" s="25"/>
      <c r="N164" s="25"/>
      <c r="O164" s="80"/>
      <c r="P164" s="25"/>
      <c r="Q164" s="25"/>
      <c r="R164" s="25"/>
      <c r="S164" s="25"/>
      <c r="T164" s="26"/>
      <c r="U164" s="26"/>
      <c r="V164" s="28"/>
    </row>
    <row r="165" spans="1:22" s="21" customFormat="1" ht="15">
      <c r="A165" s="91" t="s">
        <v>458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3"/>
    </row>
    <row r="166" spans="1:22" ht="38.25">
      <c r="A166" s="11" t="s">
        <v>143</v>
      </c>
      <c r="B166" s="11" t="s">
        <v>145</v>
      </c>
      <c r="C166" s="12" t="s">
        <v>461</v>
      </c>
      <c r="D166" s="13" t="s">
        <v>459</v>
      </c>
      <c r="E166" s="14">
        <v>44501</v>
      </c>
      <c r="F166" s="12" t="s">
        <v>460</v>
      </c>
      <c r="G166" s="14">
        <v>45231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9579.5</v>
      </c>
      <c r="S166" s="15">
        <v>9412.9</v>
      </c>
      <c r="T166" s="16">
        <f>SUM(H166:S166)</f>
        <v>18992.4</v>
      </c>
      <c r="U166" s="17" t="s">
        <v>312</v>
      </c>
      <c r="V166" s="13" t="s">
        <v>121</v>
      </c>
    </row>
    <row r="167" spans="1:22" ht="25.5" hidden="1">
      <c r="A167" s="71"/>
      <c r="B167" s="71"/>
      <c r="C167" s="72"/>
      <c r="D167" s="61"/>
      <c r="E167" s="73"/>
      <c r="F167" s="74"/>
      <c r="G167" s="73"/>
      <c r="H167" s="15"/>
      <c r="I167" s="15"/>
      <c r="J167" s="15"/>
      <c r="K167" s="15"/>
      <c r="L167" s="15"/>
      <c r="M167" s="15"/>
      <c r="N167" s="15"/>
      <c r="O167" s="77"/>
      <c r="P167" s="15"/>
      <c r="Q167" s="15"/>
      <c r="R167" s="15"/>
      <c r="S167" s="15"/>
      <c r="T167" s="16">
        <f>SUM(H167:S167)</f>
        <v>0</v>
      </c>
      <c r="U167" s="17" t="s">
        <v>312</v>
      </c>
      <c r="V167" s="13" t="s">
        <v>198</v>
      </c>
    </row>
    <row r="168" spans="1:22" ht="12.75">
      <c r="A168" s="94" t="s">
        <v>0</v>
      </c>
      <c r="B168" s="94"/>
      <c r="C168" s="94"/>
      <c r="D168" s="94"/>
      <c r="E168" s="94"/>
      <c r="F168" s="94"/>
      <c r="G168" s="94"/>
      <c r="H168" s="86">
        <f aca="true" t="shared" si="19" ref="H168:S168">SUM(H166:H167)</f>
        <v>0</v>
      </c>
      <c r="I168" s="86">
        <f t="shared" si="19"/>
        <v>0</v>
      </c>
      <c r="J168" s="86">
        <f t="shared" si="19"/>
        <v>0</v>
      </c>
      <c r="K168" s="86">
        <f t="shared" si="19"/>
        <v>0</v>
      </c>
      <c r="L168" s="86">
        <f t="shared" si="19"/>
        <v>0</v>
      </c>
      <c r="M168" s="86">
        <f t="shared" si="19"/>
        <v>0</v>
      </c>
      <c r="N168" s="86">
        <f t="shared" si="19"/>
        <v>0</v>
      </c>
      <c r="O168" s="78">
        <f t="shared" si="19"/>
        <v>0</v>
      </c>
      <c r="P168" s="86">
        <f t="shared" si="19"/>
        <v>0</v>
      </c>
      <c r="Q168" s="86">
        <f t="shared" si="19"/>
        <v>0</v>
      </c>
      <c r="R168" s="86">
        <f t="shared" si="19"/>
        <v>9579.5</v>
      </c>
      <c r="S168" s="86">
        <f t="shared" si="19"/>
        <v>9412.9</v>
      </c>
      <c r="T168" s="86">
        <f>SUM(T166:T167)</f>
        <v>18992.4</v>
      </c>
      <c r="U168" s="95"/>
      <c r="V168" s="95"/>
    </row>
    <row r="169" spans="1:22" s="21" customFormat="1" ht="12.75">
      <c r="A169" s="35"/>
      <c r="B169" s="35"/>
      <c r="C169" s="36"/>
      <c r="D169" s="10"/>
      <c r="E169" s="10"/>
      <c r="F169" s="37"/>
      <c r="G169" s="10"/>
      <c r="H169" s="19"/>
      <c r="I169" s="19"/>
      <c r="J169" s="19"/>
      <c r="K169" s="19"/>
      <c r="L169" s="19"/>
      <c r="M169" s="19"/>
      <c r="N169" s="19"/>
      <c r="O169" s="79"/>
      <c r="P169" s="19"/>
      <c r="Q169" s="19"/>
      <c r="R169" s="19"/>
      <c r="S169" s="19"/>
      <c r="T169" s="19"/>
      <c r="U169" s="19"/>
      <c r="V169" s="10"/>
    </row>
    <row r="170" spans="1:22" s="21" customFormat="1" ht="15">
      <c r="A170" s="91" t="s">
        <v>28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3"/>
    </row>
    <row r="171" spans="1:22" ht="25.5">
      <c r="A171" s="11" t="s">
        <v>143</v>
      </c>
      <c r="B171" s="11" t="s">
        <v>145</v>
      </c>
      <c r="C171" s="12" t="s">
        <v>291</v>
      </c>
      <c r="D171" s="13" t="s">
        <v>304</v>
      </c>
      <c r="E171" s="14">
        <v>43739</v>
      </c>
      <c r="F171" s="18" t="s">
        <v>15</v>
      </c>
      <c r="G171" s="14">
        <v>45260</v>
      </c>
      <c r="H171" s="15">
        <v>2120.5</v>
      </c>
      <c r="I171" s="15">
        <v>2401.09</v>
      </c>
      <c r="J171" s="15">
        <v>2956.63</v>
      </c>
      <c r="K171" s="15">
        <v>2090.34</v>
      </c>
      <c r="L171" s="15">
        <v>3550.52</v>
      </c>
      <c r="M171" s="15">
        <v>2921.8</v>
      </c>
      <c r="N171" s="15">
        <v>2554.5</v>
      </c>
      <c r="O171" s="77">
        <v>3030.8</v>
      </c>
      <c r="P171" s="15">
        <v>2401.65</v>
      </c>
      <c r="Q171" s="15">
        <v>2625.84</v>
      </c>
      <c r="R171" s="15">
        <v>3445.19</v>
      </c>
      <c r="S171" s="15">
        <v>2971.29</v>
      </c>
      <c r="T171" s="16">
        <f>SUM(H171:S171)</f>
        <v>33070.15</v>
      </c>
      <c r="U171" s="17" t="s">
        <v>316</v>
      </c>
      <c r="V171" s="13" t="s">
        <v>121</v>
      </c>
    </row>
    <row r="172" spans="1:22" s="3" customFormat="1" ht="12.75">
      <c r="A172" s="94" t="s">
        <v>0</v>
      </c>
      <c r="B172" s="94"/>
      <c r="C172" s="94"/>
      <c r="D172" s="94"/>
      <c r="E172" s="94"/>
      <c r="F172" s="94"/>
      <c r="G172" s="94"/>
      <c r="H172" s="86">
        <f aca="true" t="shared" si="20" ref="H172:S172">SUM(H171:H171)</f>
        <v>2120.5</v>
      </c>
      <c r="I172" s="86">
        <f t="shared" si="20"/>
        <v>2401.09</v>
      </c>
      <c r="J172" s="86">
        <f t="shared" si="20"/>
        <v>2956.63</v>
      </c>
      <c r="K172" s="86">
        <f t="shared" si="20"/>
        <v>2090.34</v>
      </c>
      <c r="L172" s="86">
        <f t="shared" si="20"/>
        <v>3550.52</v>
      </c>
      <c r="M172" s="86">
        <f t="shared" si="20"/>
        <v>2921.8</v>
      </c>
      <c r="N172" s="86">
        <f t="shared" si="20"/>
        <v>2554.5</v>
      </c>
      <c r="O172" s="78">
        <f t="shared" si="20"/>
        <v>3030.8</v>
      </c>
      <c r="P172" s="86">
        <f t="shared" si="20"/>
        <v>2401.65</v>
      </c>
      <c r="Q172" s="86">
        <f t="shared" si="20"/>
        <v>2625.84</v>
      </c>
      <c r="R172" s="86">
        <f t="shared" si="20"/>
        <v>3445.19</v>
      </c>
      <c r="S172" s="86">
        <f t="shared" si="20"/>
        <v>2971.29</v>
      </c>
      <c r="T172" s="16">
        <f>SUM(H172:S172)</f>
        <v>33070.15</v>
      </c>
      <c r="U172" s="95"/>
      <c r="V172" s="95"/>
    </row>
    <row r="173" spans="1:22" ht="12.75">
      <c r="A173" s="30"/>
      <c r="B173" s="30"/>
      <c r="C173" s="31"/>
      <c r="D173" s="28"/>
      <c r="E173" s="28"/>
      <c r="F173" s="32"/>
      <c r="G173" s="28"/>
      <c r="H173" s="25"/>
      <c r="I173" s="25"/>
      <c r="J173" s="25"/>
      <c r="K173" s="25"/>
      <c r="L173" s="25"/>
      <c r="M173" s="25"/>
      <c r="N173" s="25"/>
      <c r="O173" s="80"/>
      <c r="P173" s="25"/>
      <c r="Q173" s="25"/>
      <c r="R173" s="25"/>
      <c r="S173" s="25"/>
      <c r="T173" s="26"/>
      <c r="U173" s="26"/>
      <c r="V173" s="28"/>
    </row>
    <row r="174" spans="1:22" s="21" customFormat="1" ht="15">
      <c r="A174" s="91" t="s">
        <v>400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3"/>
    </row>
    <row r="175" spans="1:22" ht="25.5" customHeight="1">
      <c r="A175" s="11" t="s">
        <v>143</v>
      </c>
      <c r="B175" s="11" t="s">
        <v>145</v>
      </c>
      <c r="C175" s="12" t="s">
        <v>362</v>
      </c>
      <c r="D175" s="13" t="s">
        <v>363</v>
      </c>
      <c r="E175" s="14">
        <v>43944</v>
      </c>
      <c r="F175" s="18" t="s">
        <v>14</v>
      </c>
      <c r="G175" s="14">
        <v>44673</v>
      </c>
      <c r="H175" s="15">
        <v>7031.2</v>
      </c>
      <c r="I175" s="15">
        <v>5635.18</v>
      </c>
      <c r="J175" s="15">
        <v>5295.44</v>
      </c>
      <c r="K175" s="15">
        <v>4723.34</v>
      </c>
      <c r="L175" s="15">
        <v>5753.5</v>
      </c>
      <c r="M175" s="15">
        <v>6073.68</v>
      </c>
      <c r="N175" s="15">
        <v>5475.54</v>
      </c>
      <c r="O175" s="77">
        <v>5634.26</v>
      </c>
      <c r="P175" s="15">
        <v>5515.62</v>
      </c>
      <c r="Q175" s="15">
        <v>5267.64</v>
      </c>
      <c r="R175" s="15">
        <v>4216.18</v>
      </c>
      <c r="S175" s="15">
        <v>5209.02</v>
      </c>
      <c r="T175" s="16">
        <f>SUM(H175:S175)</f>
        <v>65830.6</v>
      </c>
      <c r="U175" s="17" t="s">
        <v>307</v>
      </c>
      <c r="V175" s="13" t="s">
        <v>121</v>
      </c>
    </row>
    <row r="176" spans="1:22" ht="12.75">
      <c r="A176" s="94" t="s">
        <v>0</v>
      </c>
      <c r="B176" s="94"/>
      <c r="C176" s="94"/>
      <c r="D176" s="94"/>
      <c r="E176" s="94"/>
      <c r="F176" s="94"/>
      <c r="G176" s="94"/>
      <c r="H176" s="86">
        <f aca="true" t="shared" si="21" ref="H176:T176">SUM(H175:H175)</f>
        <v>7031.2</v>
      </c>
      <c r="I176" s="86">
        <f t="shared" si="21"/>
        <v>5635.18</v>
      </c>
      <c r="J176" s="86">
        <f t="shared" si="21"/>
        <v>5295.44</v>
      </c>
      <c r="K176" s="86">
        <f t="shared" si="21"/>
        <v>4723.34</v>
      </c>
      <c r="L176" s="86">
        <f t="shared" si="21"/>
        <v>5753.5</v>
      </c>
      <c r="M176" s="86">
        <f t="shared" si="21"/>
        <v>6073.68</v>
      </c>
      <c r="N176" s="86">
        <f t="shared" si="21"/>
        <v>5475.54</v>
      </c>
      <c r="O176" s="78">
        <f t="shared" si="21"/>
        <v>5634.26</v>
      </c>
      <c r="P176" s="86">
        <f t="shared" si="21"/>
        <v>5515.62</v>
      </c>
      <c r="Q176" s="86">
        <f t="shared" si="21"/>
        <v>5267.64</v>
      </c>
      <c r="R176" s="86">
        <f t="shared" si="21"/>
        <v>4216.18</v>
      </c>
      <c r="S176" s="86">
        <f t="shared" si="21"/>
        <v>5209.02</v>
      </c>
      <c r="T176" s="86">
        <f t="shared" si="21"/>
        <v>65830.6</v>
      </c>
      <c r="U176" s="95"/>
      <c r="V176" s="95"/>
    </row>
    <row r="177" spans="1:22" s="37" customFormat="1" ht="12.75">
      <c r="A177" s="38"/>
      <c r="B177" s="38"/>
      <c r="C177" s="36"/>
      <c r="D177" s="10"/>
      <c r="E177" s="10"/>
      <c r="G177" s="10"/>
      <c r="H177" s="19"/>
      <c r="I177" s="19"/>
      <c r="J177" s="19"/>
      <c r="K177" s="19"/>
      <c r="L177" s="19"/>
      <c r="M177" s="19"/>
      <c r="N177" s="19"/>
      <c r="O177" s="79"/>
      <c r="P177" s="19"/>
      <c r="Q177" s="19"/>
      <c r="R177" s="19"/>
      <c r="S177" s="19"/>
      <c r="T177" s="20"/>
      <c r="U177" s="20"/>
      <c r="V177" s="10"/>
    </row>
    <row r="178" spans="1:22" s="21" customFormat="1" ht="15" hidden="1">
      <c r="A178" s="91" t="s">
        <v>401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3"/>
    </row>
    <row r="179" spans="1:22" s="52" customFormat="1" ht="25.5" hidden="1">
      <c r="A179" s="11"/>
      <c r="B179" s="11"/>
      <c r="C179" s="12"/>
      <c r="D179" s="13"/>
      <c r="E179" s="14"/>
      <c r="F179" s="75"/>
      <c r="G179" s="14"/>
      <c r="H179" s="15"/>
      <c r="I179" s="15"/>
      <c r="J179" s="15"/>
      <c r="K179" s="15"/>
      <c r="L179" s="15"/>
      <c r="M179" s="15"/>
      <c r="N179" s="15"/>
      <c r="O179" s="77"/>
      <c r="P179" s="15"/>
      <c r="Q179" s="15"/>
      <c r="R179" s="15"/>
      <c r="S179" s="15"/>
      <c r="T179" s="16">
        <f>SUM(H179:S179)</f>
        <v>0</v>
      </c>
      <c r="U179" s="60" t="s">
        <v>307</v>
      </c>
      <c r="V179" s="61" t="s">
        <v>121</v>
      </c>
    </row>
    <row r="180" spans="1:22" ht="25.5" hidden="1">
      <c r="A180" s="11"/>
      <c r="B180" s="11"/>
      <c r="C180" s="12"/>
      <c r="D180" s="13"/>
      <c r="E180" s="14"/>
      <c r="F180" s="75"/>
      <c r="G180" s="14"/>
      <c r="H180" s="15"/>
      <c r="I180" s="15"/>
      <c r="J180" s="15"/>
      <c r="K180" s="15"/>
      <c r="L180" s="15"/>
      <c r="M180" s="15"/>
      <c r="N180" s="15"/>
      <c r="O180" s="77"/>
      <c r="P180" s="15"/>
      <c r="Q180" s="15"/>
      <c r="R180" s="15"/>
      <c r="S180" s="15"/>
      <c r="T180" s="16">
        <f>SUM(H180:S180)</f>
        <v>0</v>
      </c>
      <c r="U180" s="17" t="s">
        <v>307</v>
      </c>
      <c r="V180" s="13" t="s">
        <v>121</v>
      </c>
    </row>
    <row r="181" spans="1:22" ht="12.75" hidden="1">
      <c r="A181" s="94" t="s">
        <v>0</v>
      </c>
      <c r="B181" s="94"/>
      <c r="C181" s="94"/>
      <c r="D181" s="94"/>
      <c r="E181" s="94"/>
      <c r="F181" s="94"/>
      <c r="G181" s="94"/>
      <c r="H181" s="86">
        <f>SUM(H179:H180)</f>
        <v>0</v>
      </c>
      <c r="I181" s="86">
        <f aca="true" t="shared" si="22" ref="I181:T181">SUM(I179:I180)</f>
        <v>0</v>
      </c>
      <c r="J181" s="86">
        <f t="shared" si="22"/>
        <v>0</v>
      </c>
      <c r="K181" s="86">
        <f t="shared" si="22"/>
        <v>0</v>
      </c>
      <c r="L181" s="86">
        <f t="shared" si="22"/>
        <v>0</v>
      </c>
      <c r="M181" s="86">
        <f t="shared" si="22"/>
        <v>0</v>
      </c>
      <c r="N181" s="86">
        <f t="shared" si="22"/>
        <v>0</v>
      </c>
      <c r="O181" s="78">
        <f t="shared" si="22"/>
        <v>0</v>
      </c>
      <c r="P181" s="86">
        <f t="shared" si="22"/>
        <v>0</v>
      </c>
      <c r="Q181" s="86">
        <f t="shared" si="22"/>
        <v>0</v>
      </c>
      <c r="R181" s="86">
        <f t="shared" si="22"/>
        <v>0</v>
      </c>
      <c r="S181" s="86">
        <f t="shared" si="22"/>
        <v>0</v>
      </c>
      <c r="T181" s="86">
        <f t="shared" si="22"/>
        <v>0</v>
      </c>
      <c r="U181" s="95"/>
      <c r="V181" s="95"/>
    </row>
    <row r="182" spans="1:22" s="37" customFormat="1" ht="12.75" hidden="1">
      <c r="A182" s="38"/>
      <c r="B182" s="38"/>
      <c r="C182" s="36"/>
      <c r="D182" s="10"/>
      <c r="E182" s="10"/>
      <c r="G182" s="10"/>
      <c r="H182" s="19"/>
      <c r="I182" s="19"/>
      <c r="J182" s="19"/>
      <c r="K182" s="19"/>
      <c r="L182" s="19"/>
      <c r="M182" s="19"/>
      <c r="N182" s="19"/>
      <c r="O182" s="79"/>
      <c r="P182" s="19"/>
      <c r="Q182" s="19"/>
      <c r="R182" s="19"/>
      <c r="S182" s="19"/>
      <c r="T182" s="20"/>
      <c r="U182" s="20"/>
      <c r="V182" s="10"/>
    </row>
    <row r="183" spans="1:22" ht="12.75">
      <c r="A183" s="94" t="s">
        <v>5</v>
      </c>
      <c r="B183" s="94"/>
      <c r="C183" s="94"/>
      <c r="D183" s="94"/>
      <c r="E183" s="94"/>
      <c r="F183" s="94"/>
      <c r="G183" s="94"/>
      <c r="H183" s="86">
        <f aca="true" t="shared" si="23" ref="H183:T183">H22+H26+H109+H114+H119+H123+H127+H132+H136+H142+H146+H151+H155+H163+H168+H172+H176+H181</f>
        <v>944688.4999999999</v>
      </c>
      <c r="I183" s="86">
        <f t="shared" si="23"/>
        <v>871661.57</v>
      </c>
      <c r="J183" s="86">
        <f t="shared" si="23"/>
        <v>843093.2899999998</v>
      </c>
      <c r="K183" s="86">
        <f t="shared" si="23"/>
        <v>826687.98</v>
      </c>
      <c r="L183" s="86">
        <f t="shared" si="23"/>
        <v>952310.45</v>
      </c>
      <c r="M183" s="86">
        <f t="shared" si="23"/>
        <v>903115.2299999997</v>
      </c>
      <c r="N183" s="86">
        <f t="shared" si="23"/>
        <v>888842.21</v>
      </c>
      <c r="O183" s="78">
        <f t="shared" si="23"/>
        <v>851102.4000000001</v>
      </c>
      <c r="P183" s="86">
        <f t="shared" si="23"/>
        <v>824226.93</v>
      </c>
      <c r="Q183" s="86">
        <f t="shared" si="23"/>
        <v>912278.2999999998</v>
      </c>
      <c r="R183" s="86">
        <f t="shared" si="23"/>
        <v>949880.3799999998</v>
      </c>
      <c r="S183" s="86">
        <f t="shared" si="23"/>
        <v>994280.32</v>
      </c>
      <c r="T183" s="86">
        <f t="shared" si="23"/>
        <v>10762167.56</v>
      </c>
      <c r="U183" s="95"/>
      <c r="V183" s="95"/>
    </row>
    <row r="184" spans="8:21" ht="12.75">
      <c r="H184" s="2"/>
      <c r="I184" s="2"/>
      <c r="J184" s="2"/>
      <c r="K184" s="2"/>
      <c r="L184" s="2"/>
      <c r="M184" s="2"/>
      <c r="N184" s="2"/>
      <c r="O184" s="82"/>
      <c r="P184" s="2"/>
      <c r="Q184" s="2"/>
      <c r="R184" s="2"/>
      <c r="S184" s="2"/>
      <c r="T184" s="2"/>
      <c r="U184" s="2"/>
    </row>
    <row r="185" spans="5:7" ht="12.75">
      <c r="E185" s="2"/>
      <c r="G185" s="2"/>
    </row>
    <row r="186" spans="1:22" ht="12.75" hidden="1">
      <c r="A186" s="96"/>
      <c r="B186" s="96"/>
      <c r="C186" s="96"/>
      <c r="D186" s="96"/>
      <c r="E186" s="96"/>
      <c r="F186" s="96"/>
      <c r="G186" s="96"/>
      <c r="H186" s="96"/>
      <c r="I186" s="96"/>
      <c r="J186" s="87"/>
      <c r="K186" s="87"/>
      <c r="L186" s="87"/>
      <c r="M186" s="87"/>
      <c r="N186" s="87"/>
      <c r="O186" s="84"/>
      <c r="P186" s="87"/>
      <c r="Q186" s="87"/>
      <c r="R186" s="87"/>
      <c r="S186" s="87"/>
      <c r="T186" s="86">
        <f>T183</f>
        <v>10762167.56</v>
      </c>
      <c r="U186" s="108"/>
      <c r="V186" s="109"/>
    </row>
    <row r="187" spans="5:7" ht="12.75">
      <c r="E187" s="2"/>
      <c r="G187" s="2"/>
    </row>
    <row r="188" spans="5:7" ht="12.75">
      <c r="E188" s="2"/>
      <c r="G188" s="2"/>
    </row>
    <row r="189" spans="5:7" ht="12.75">
      <c r="E189" s="2"/>
      <c r="G189" s="2"/>
    </row>
    <row r="190" spans="5:21" ht="12.75">
      <c r="E190" s="2"/>
      <c r="G190" s="2"/>
      <c r="T190" s="51"/>
      <c r="U190" s="51"/>
    </row>
    <row r="191" spans="1:22" ht="15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</row>
    <row r="192" spans="1:22" ht="1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</row>
    <row r="193" ht="12.75">
      <c r="C193" s="2"/>
    </row>
    <row r="194" ht="12.75">
      <c r="T194" s="51"/>
    </row>
    <row r="195" spans="20:23" ht="12.75">
      <c r="T195" s="51"/>
      <c r="W195" s="63"/>
    </row>
    <row r="196" ht="12.75">
      <c r="T196" s="51"/>
    </row>
    <row r="197" ht="12.75">
      <c r="T197" s="85"/>
    </row>
    <row r="198" spans="20:23" ht="12.75">
      <c r="T198" s="51"/>
      <c r="W198" s="63"/>
    </row>
  </sheetData>
  <sheetProtection/>
  <mergeCells count="83">
    <mergeCell ref="A181:G181"/>
    <mergeCell ref="U183:V183"/>
    <mergeCell ref="U172:V172"/>
    <mergeCell ref="U186:V186"/>
    <mergeCell ref="U127:V127"/>
    <mergeCell ref="U132:V132"/>
    <mergeCell ref="U136:V136"/>
    <mergeCell ref="U142:V142"/>
    <mergeCell ref="U146:V146"/>
    <mergeCell ref="U151:V151"/>
    <mergeCell ref="U163:V163"/>
    <mergeCell ref="U168:V168"/>
    <mergeCell ref="A176:G176"/>
    <mergeCell ref="U176:V176"/>
    <mergeCell ref="A172:G172"/>
    <mergeCell ref="A165:V165"/>
    <mergeCell ref="A170:V170"/>
    <mergeCell ref="A174:V174"/>
    <mergeCell ref="K10:K11"/>
    <mergeCell ref="A24:V24"/>
    <mergeCell ref="A109:G109"/>
    <mergeCell ref="A144:V144"/>
    <mergeCell ref="M10:M11"/>
    <mergeCell ref="A13:V13"/>
    <mergeCell ref="E10:E11"/>
    <mergeCell ref="L10:L11"/>
    <mergeCell ref="C2:T2"/>
    <mergeCell ref="A8:V8"/>
    <mergeCell ref="V10:V11"/>
    <mergeCell ref="N10:N11"/>
    <mergeCell ref="A127:G127"/>
    <mergeCell ref="A142:G142"/>
    <mergeCell ref="O10:O11"/>
    <mergeCell ref="G10:G11"/>
    <mergeCell ref="H10:H11"/>
    <mergeCell ref="J10:J11"/>
    <mergeCell ref="A192:V192"/>
    <mergeCell ref="B10:B11"/>
    <mergeCell ref="C10:C11"/>
    <mergeCell ref="D10:D11"/>
    <mergeCell ref="F10:F11"/>
    <mergeCell ref="P10:P11"/>
    <mergeCell ref="A132:G132"/>
    <mergeCell ref="A136:G136"/>
    <mergeCell ref="A114:G114"/>
    <mergeCell ref="U114:V114"/>
    <mergeCell ref="A111:V111"/>
    <mergeCell ref="S10:S11"/>
    <mergeCell ref="T10:T11"/>
    <mergeCell ref="U26:V26"/>
    <mergeCell ref="U109:V109"/>
    <mergeCell ref="A28:V28"/>
    <mergeCell ref="Q10:Q11"/>
    <mergeCell ref="I10:I11"/>
    <mergeCell ref="U10:U11"/>
    <mergeCell ref="A22:G22"/>
    <mergeCell ref="A26:G26"/>
    <mergeCell ref="R10:R11"/>
    <mergeCell ref="A191:V191"/>
    <mergeCell ref="A155:G155"/>
    <mergeCell ref="A163:G163"/>
    <mergeCell ref="A168:G168"/>
    <mergeCell ref="U155:V155"/>
    <mergeCell ref="U22:V22"/>
    <mergeCell ref="A153:V153"/>
    <mergeCell ref="A157:V157"/>
    <mergeCell ref="A116:V116"/>
    <mergeCell ref="A119:G119"/>
    <mergeCell ref="U119:V119"/>
    <mergeCell ref="A138:V138"/>
    <mergeCell ref="A134:V134"/>
    <mergeCell ref="A121:V121"/>
    <mergeCell ref="A125:V125"/>
    <mergeCell ref="A129:V129"/>
    <mergeCell ref="A123:G123"/>
    <mergeCell ref="U123:V123"/>
    <mergeCell ref="A148:V148"/>
    <mergeCell ref="A186:I186"/>
    <mergeCell ref="A183:G183"/>
    <mergeCell ref="A146:G146"/>
    <mergeCell ref="A151:G151"/>
    <mergeCell ref="A178:V178"/>
    <mergeCell ref="U181:V181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21"/>
  <sheetViews>
    <sheetView showGridLines="0" zoomScale="90" zoomScaleNormal="90" zoomScaleSheetLayoutView="70" workbookViewId="0" topLeftCell="H4">
      <pane ySplit="10" topLeftCell="A14" activePane="bottomLeft" state="frozen"/>
      <selection pane="topLeft" activeCell="A4" sqref="A4"/>
      <selection pane="bottomLeft" activeCell="T22" sqref="T22"/>
    </sheetView>
  </sheetViews>
  <sheetFormatPr defaultColWidth="9.140625" defaultRowHeight="15"/>
  <cols>
    <col min="1" max="1" width="18.7109375" style="68" customWidth="1"/>
    <col min="2" max="2" width="22.7109375" style="68" customWidth="1"/>
    <col min="3" max="3" width="46.00390625" style="4" customWidth="1"/>
    <col min="4" max="4" width="19.28125" style="1" customWidth="1"/>
    <col min="5" max="5" width="19.8515625" style="1" customWidth="1"/>
    <col min="6" max="6" width="57.140625" style="2" customWidth="1"/>
    <col min="7" max="7" width="19.8515625" style="1" customWidth="1"/>
    <col min="8" max="8" width="12.421875" style="1" customWidth="1"/>
    <col min="9" max="9" width="12.28125" style="1" customWidth="1"/>
    <col min="10" max="10" width="13.7109375" style="1" customWidth="1"/>
    <col min="11" max="11" width="14.28125" style="1" customWidth="1"/>
    <col min="12" max="12" width="14.57421875" style="1" customWidth="1"/>
    <col min="13" max="13" width="13.7109375" style="1" customWidth="1"/>
    <col min="14" max="14" width="13.8515625" style="1" customWidth="1"/>
    <col min="15" max="15" width="15.140625" style="1" customWidth="1"/>
    <col min="16" max="19" width="15.28125" style="1" customWidth="1"/>
    <col min="20" max="20" width="15.140625" style="3" customWidth="1"/>
    <col min="21" max="21" width="25.7109375" style="3" hidden="1" customWidth="1"/>
    <col min="22" max="22" width="13.7109375" style="1" hidden="1" customWidth="1"/>
    <col min="23" max="23" width="12.421875" style="2" hidden="1" customWidth="1"/>
    <col min="24" max="16384" width="9.140625" style="2" customWidth="1"/>
  </cols>
  <sheetData>
    <row r="1" ht="12.75"/>
    <row r="2" spans="3:22" ht="12.75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67"/>
      <c r="V2" s="2"/>
    </row>
    <row r="3" ht="12.75"/>
    <row r="4" ht="12.75"/>
    <row r="5" ht="12.75"/>
    <row r="6" ht="12.75"/>
    <row r="7" ht="12.75"/>
    <row r="8" spans="1:22" ht="12.75">
      <c r="A8" s="106" t="s">
        <v>349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ht="12.75"/>
    <row r="10" spans="1:22" ht="12.75">
      <c r="A10" s="5" t="s">
        <v>141</v>
      </c>
      <c r="B10" s="103" t="s">
        <v>144</v>
      </c>
      <c r="C10" s="94" t="s">
        <v>6</v>
      </c>
      <c r="D10" s="104" t="s">
        <v>8</v>
      </c>
      <c r="E10" s="94" t="s">
        <v>303</v>
      </c>
      <c r="F10" s="94" t="s">
        <v>7</v>
      </c>
      <c r="G10" s="94" t="s">
        <v>94</v>
      </c>
      <c r="H10" s="99" t="s">
        <v>2</v>
      </c>
      <c r="I10" s="99" t="s">
        <v>1</v>
      </c>
      <c r="J10" s="99" t="s">
        <v>16</v>
      </c>
      <c r="K10" s="99" t="s">
        <v>17</v>
      </c>
      <c r="L10" s="99" t="s">
        <v>18</v>
      </c>
      <c r="M10" s="99" t="s">
        <v>19</v>
      </c>
      <c r="N10" s="99" t="s">
        <v>20</v>
      </c>
      <c r="O10" s="99" t="s">
        <v>23</v>
      </c>
      <c r="P10" s="99" t="s">
        <v>24</v>
      </c>
      <c r="Q10" s="99" t="s">
        <v>25</v>
      </c>
      <c r="R10" s="99" t="s">
        <v>26</v>
      </c>
      <c r="S10" s="99" t="s">
        <v>27</v>
      </c>
      <c r="T10" s="99" t="s">
        <v>3</v>
      </c>
      <c r="U10" s="94" t="s">
        <v>306</v>
      </c>
      <c r="V10" s="104" t="s">
        <v>120</v>
      </c>
    </row>
    <row r="11" spans="1:22" ht="12.75">
      <c r="A11" s="6" t="s">
        <v>142</v>
      </c>
      <c r="B11" s="103"/>
      <c r="C11" s="94"/>
      <c r="D11" s="104"/>
      <c r="E11" s="94"/>
      <c r="F11" s="94"/>
      <c r="G11" s="94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4"/>
      <c r="V11" s="104"/>
    </row>
    <row r="12" spans="1:22" ht="12.75">
      <c r="A12" s="7"/>
      <c r="B12" s="7"/>
      <c r="C12" s="8"/>
      <c r="D12" s="9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8"/>
      <c r="V12" s="9"/>
    </row>
    <row r="13" spans="1:22" ht="15">
      <c r="A13" s="91" t="s">
        <v>389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</row>
    <row r="14" spans="1:22" ht="25.5">
      <c r="A14" s="11" t="s">
        <v>143</v>
      </c>
      <c r="B14" s="11" t="s">
        <v>145</v>
      </c>
      <c r="C14" s="12" t="s">
        <v>29</v>
      </c>
      <c r="D14" s="13" t="s">
        <v>40</v>
      </c>
      <c r="E14" s="14">
        <v>43435</v>
      </c>
      <c r="F14" s="12" t="s">
        <v>30</v>
      </c>
      <c r="G14" s="14">
        <v>44165</v>
      </c>
      <c r="H14" s="15">
        <v>1953.61</v>
      </c>
      <c r="I14" s="15">
        <v>1953.61</v>
      </c>
      <c r="J14" s="15">
        <f>789.62+1116.22</f>
        <v>1905.8400000000001</v>
      </c>
      <c r="K14" s="15">
        <f>972.91+627.57</f>
        <v>1600.48</v>
      </c>
      <c r="L14" s="15">
        <v>1873.43</v>
      </c>
      <c r="M14" s="15">
        <f>1116.22+757.21</f>
        <v>1873.43</v>
      </c>
      <c r="N14" s="15">
        <f>1116.22+757.21</f>
        <v>1873.43</v>
      </c>
      <c r="O14" s="15">
        <f>1116.22+757.21</f>
        <v>1873.43</v>
      </c>
      <c r="P14" s="15">
        <f>757.21+1116.22</f>
        <v>1873.43</v>
      </c>
      <c r="Q14" s="15">
        <f>757.21+1116.22</f>
        <v>1873.43</v>
      </c>
      <c r="R14" s="15">
        <f>757.21+1116.22</f>
        <v>1873.43</v>
      </c>
      <c r="S14" s="15">
        <f>894.95+1319.26</f>
        <v>2214.21</v>
      </c>
      <c r="T14" s="16">
        <f aca="true" t="shared" si="0" ref="T14:T22">SUM(H14:S14)</f>
        <v>22741.76</v>
      </c>
      <c r="U14" s="17" t="s">
        <v>308</v>
      </c>
      <c r="V14" s="13" t="s">
        <v>121</v>
      </c>
    </row>
    <row r="15" spans="1:22" ht="25.5">
      <c r="A15" s="11" t="s">
        <v>143</v>
      </c>
      <c r="B15" s="11" t="s">
        <v>145</v>
      </c>
      <c r="C15" s="12" t="s">
        <v>104</v>
      </c>
      <c r="D15" s="13" t="s">
        <v>102</v>
      </c>
      <c r="E15" s="14">
        <v>43435</v>
      </c>
      <c r="F15" s="12" t="s">
        <v>103</v>
      </c>
      <c r="G15" s="14">
        <v>44165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825</v>
      </c>
      <c r="S15" s="15">
        <v>0</v>
      </c>
      <c r="T15" s="16">
        <f t="shared" si="0"/>
        <v>825</v>
      </c>
      <c r="U15" s="17" t="s">
        <v>309</v>
      </c>
      <c r="V15" s="13" t="s">
        <v>121</v>
      </c>
    </row>
    <row r="16" spans="1:22" ht="25.5">
      <c r="A16" s="11" t="s">
        <v>143</v>
      </c>
      <c r="B16" s="11" t="s">
        <v>145</v>
      </c>
      <c r="C16" s="12" t="s">
        <v>124</v>
      </c>
      <c r="D16" s="13" t="s">
        <v>125</v>
      </c>
      <c r="E16" s="14">
        <v>43435</v>
      </c>
      <c r="F16" s="18" t="s">
        <v>38</v>
      </c>
      <c r="G16" s="14">
        <v>44165</v>
      </c>
      <c r="H16" s="15">
        <v>2298</v>
      </c>
      <c r="I16" s="15">
        <v>2298</v>
      </c>
      <c r="J16" s="15">
        <v>2298</v>
      </c>
      <c r="K16" s="15">
        <v>2298</v>
      </c>
      <c r="L16" s="15">
        <v>2298</v>
      </c>
      <c r="M16" s="15">
        <v>2298</v>
      </c>
      <c r="N16" s="15">
        <v>2298</v>
      </c>
      <c r="O16" s="15">
        <v>2298</v>
      </c>
      <c r="P16" s="15">
        <v>2298</v>
      </c>
      <c r="Q16" s="15">
        <v>2298</v>
      </c>
      <c r="R16" s="15">
        <v>2298</v>
      </c>
      <c r="S16" s="15">
        <v>2298</v>
      </c>
      <c r="T16" s="16">
        <f t="shared" si="0"/>
        <v>27576</v>
      </c>
      <c r="U16" s="17" t="s">
        <v>310</v>
      </c>
      <c r="V16" s="13" t="s">
        <v>121</v>
      </c>
    </row>
    <row r="17" spans="1:22" ht="25.5">
      <c r="A17" s="11" t="s">
        <v>143</v>
      </c>
      <c r="B17" s="11" t="s">
        <v>145</v>
      </c>
      <c r="C17" s="12" t="s">
        <v>122</v>
      </c>
      <c r="D17" s="13" t="s">
        <v>123</v>
      </c>
      <c r="E17" s="14">
        <v>43435</v>
      </c>
      <c r="F17" s="18" t="s">
        <v>31</v>
      </c>
      <c r="G17" s="14">
        <v>44165</v>
      </c>
      <c r="H17" s="15">
        <v>252.54</v>
      </c>
      <c r="I17" s="15">
        <v>252.54</v>
      </c>
      <c r="J17" s="15">
        <v>252.54</v>
      </c>
      <c r="K17" s="15">
        <v>252.54</v>
      </c>
      <c r="L17" s="15">
        <v>252.54</v>
      </c>
      <c r="M17" s="15">
        <v>252.54</v>
      </c>
      <c r="N17" s="15">
        <v>252.54</v>
      </c>
      <c r="O17" s="15">
        <v>252.54</v>
      </c>
      <c r="P17" s="15">
        <v>252.54</v>
      </c>
      <c r="Q17" s="15">
        <v>252.54</v>
      </c>
      <c r="R17" s="15">
        <v>252.54</v>
      </c>
      <c r="S17" s="15">
        <v>252.54</v>
      </c>
      <c r="T17" s="16">
        <f t="shared" si="0"/>
        <v>3030.48</v>
      </c>
      <c r="U17" s="17" t="s">
        <v>311</v>
      </c>
      <c r="V17" s="13" t="s">
        <v>121</v>
      </c>
    </row>
    <row r="18" spans="1:22" ht="25.5">
      <c r="A18" s="11" t="s">
        <v>143</v>
      </c>
      <c r="B18" s="11" t="s">
        <v>145</v>
      </c>
      <c r="C18" s="12" t="s">
        <v>378</v>
      </c>
      <c r="D18" s="13" t="s">
        <v>379</v>
      </c>
      <c r="E18" s="14">
        <v>43974</v>
      </c>
      <c r="F18" s="18" t="s">
        <v>358</v>
      </c>
      <c r="G18" s="14">
        <v>44704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14100</v>
      </c>
      <c r="N18" s="15">
        <v>22167</v>
      </c>
      <c r="O18" s="15">
        <v>22167</v>
      </c>
      <c r="P18" s="15">
        <v>22167</v>
      </c>
      <c r="Q18" s="15">
        <v>22167</v>
      </c>
      <c r="R18" s="15">
        <v>22167</v>
      </c>
      <c r="S18" s="15">
        <v>18700</v>
      </c>
      <c r="T18" s="16">
        <f t="shared" si="0"/>
        <v>143635</v>
      </c>
      <c r="U18" s="17" t="s">
        <v>310</v>
      </c>
      <c r="V18" s="13" t="s">
        <v>121</v>
      </c>
    </row>
    <row r="19" spans="1:22" ht="25.5">
      <c r="A19" s="11" t="s">
        <v>143</v>
      </c>
      <c r="B19" s="11" t="s">
        <v>145</v>
      </c>
      <c r="C19" s="12" t="s">
        <v>411</v>
      </c>
      <c r="D19" s="13" t="s">
        <v>412</v>
      </c>
      <c r="E19" s="14">
        <v>44098</v>
      </c>
      <c r="F19" s="18" t="s">
        <v>413</v>
      </c>
      <c r="G19" s="14">
        <v>44462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844.2</v>
      </c>
      <c r="R19" s="15">
        <v>844.2</v>
      </c>
      <c r="S19" s="15">
        <v>844.2</v>
      </c>
      <c r="T19" s="16">
        <f t="shared" si="0"/>
        <v>2532.6000000000004</v>
      </c>
      <c r="U19" s="17" t="s">
        <v>414</v>
      </c>
      <c r="V19" s="13" t="s">
        <v>121</v>
      </c>
    </row>
    <row r="20" spans="1:22" s="52" customFormat="1" ht="38.25">
      <c r="A20" s="42" t="s">
        <v>336</v>
      </c>
      <c r="B20" s="42" t="s">
        <v>145</v>
      </c>
      <c r="C20" s="43" t="s">
        <v>166</v>
      </c>
      <c r="D20" s="44" t="s">
        <v>167</v>
      </c>
      <c r="E20" s="45">
        <v>43435</v>
      </c>
      <c r="F20" s="49" t="s">
        <v>168</v>
      </c>
      <c r="G20" s="45">
        <v>44165</v>
      </c>
      <c r="H20" s="46">
        <v>10750</v>
      </c>
      <c r="I20" s="46">
        <v>10750</v>
      </c>
      <c r="J20" s="46">
        <v>10750</v>
      </c>
      <c r="K20" s="46">
        <v>10750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7">
        <f t="shared" si="0"/>
        <v>43000</v>
      </c>
      <c r="U20" s="48" t="s">
        <v>310</v>
      </c>
      <c r="V20" s="44" t="s">
        <v>121</v>
      </c>
    </row>
    <row r="21" spans="1:22" s="52" customFormat="1" ht="25.5">
      <c r="A21" s="42" t="s">
        <v>336</v>
      </c>
      <c r="B21" s="42" t="s">
        <v>145</v>
      </c>
      <c r="C21" s="43" t="s">
        <v>212</v>
      </c>
      <c r="D21" s="44" t="s">
        <v>172</v>
      </c>
      <c r="E21" s="45">
        <v>43435</v>
      </c>
      <c r="F21" s="49" t="s">
        <v>173</v>
      </c>
      <c r="G21" s="45">
        <v>44167</v>
      </c>
      <c r="H21" s="46">
        <v>14899</v>
      </c>
      <c r="I21" s="46">
        <v>14899</v>
      </c>
      <c r="J21" s="46">
        <v>14899</v>
      </c>
      <c r="K21" s="46">
        <v>14899</v>
      </c>
      <c r="L21" s="46">
        <v>10925.93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7">
        <f t="shared" si="0"/>
        <v>70521.93</v>
      </c>
      <c r="U21" s="48" t="s">
        <v>307</v>
      </c>
      <c r="V21" s="44" t="s">
        <v>121</v>
      </c>
    </row>
    <row r="22" spans="1:22" ht="12.75">
      <c r="A22" s="94" t="s">
        <v>0</v>
      </c>
      <c r="B22" s="94"/>
      <c r="C22" s="94"/>
      <c r="D22" s="94"/>
      <c r="E22" s="94"/>
      <c r="F22" s="94"/>
      <c r="G22" s="94"/>
      <c r="H22" s="65">
        <f aca="true" t="shared" si="1" ref="H22:S22">SUM(H14:H21)</f>
        <v>30153.15</v>
      </c>
      <c r="I22" s="65">
        <f t="shared" si="1"/>
        <v>30153.15</v>
      </c>
      <c r="J22" s="65">
        <f t="shared" si="1"/>
        <v>30105.38</v>
      </c>
      <c r="K22" s="65">
        <f t="shared" si="1"/>
        <v>29800.02</v>
      </c>
      <c r="L22" s="65">
        <f t="shared" si="1"/>
        <v>15349.900000000001</v>
      </c>
      <c r="M22" s="65">
        <f t="shared" si="1"/>
        <v>18523.97</v>
      </c>
      <c r="N22" s="65">
        <f t="shared" si="1"/>
        <v>26590.97</v>
      </c>
      <c r="O22" s="65">
        <f t="shared" si="1"/>
        <v>26590.97</v>
      </c>
      <c r="P22" s="65">
        <f t="shared" si="1"/>
        <v>26590.97</v>
      </c>
      <c r="Q22" s="65">
        <f t="shared" si="1"/>
        <v>27435.170000000002</v>
      </c>
      <c r="R22" s="65">
        <f t="shared" si="1"/>
        <v>28260.170000000002</v>
      </c>
      <c r="S22" s="65">
        <f t="shared" si="1"/>
        <v>24308.95</v>
      </c>
      <c r="T22" s="16">
        <f t="shared" si="0"/>
        <v>313862.77</v>
      </c>
      <c r="U22" s="95"/>
      <c r="V22" s="95"/>
    </row>
    <row r="23" spans="1:22" ht="12.75">
      <c r="A23" s="8"/>
      <c r="B23" s="8"/>
      <c r="C23" s="8"/>
      <c r="D23" s="8"/>
      <c r="E23" s="8"/>
      <c r="F23" s="8"/>
      <c r="G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9"/>
      <c r="V23" s="19"/>
    </row>
    <row r="24" spans="1:22" s="21" customFormat="1" ht="15">
      <c r="A24" s="91" t="s">
        <v>390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</row>
    <row r="25" spans="1:22" s="4" customFormat="1" ht="25.5">
      <c r="A25" s="22" t="s">
        <v>143</v>
      </c>
      <c r="B25" s="22" t="s">
        <v>145</v>
      </c>
      <c r="C25" s="12" t="s">
        <v>4</v>
      </c>
      <c r="D25" s="23" t="s">
        <v>41</v>
      </c>
      <c r="E25" s="14">
        <v>43435</v>
      </c>
      <c r="F25" s="18" t="s">
        <v>11</v>
      </c>
      <c r="G25" s="14">
        <v>44165</v>
      </c>
      <c r="H25" s="15">
        <v>569.03</v>
      </c>
      <c r="I25" s="15">
        <v>569.03</v>
      </c>
      <c r="J25" s="15">
        <v>569.03</v>
      </c>
      <c r="K25" s="15">
        <v>569.03</v>
      </c>
      <c r="L25" s="15">
        <v>569.03</v>
      </c>
      <c r="M25" s="15">
        <v>569.03</v>
      </c>
      <c r="N25" s="15">
        <v>569.03</v>
      </c>
      <c r="O25" s="15">
        <v>569.03</v>
      </c>
      <c r="P25" s="15">
        <v>569.03</v>
      </c>
      <c r="Q25" s="15">
        <v>569.03</v>
      </c>
      <c r="R25" s="15">
        <v>569.03</v>
      </c>
      <c r="S25" s="15">
        <v>707.21</v>
      </c>
      <c r="T25" s="16">
        <f>SUM(H25:S25)</f>
        <v>6966.539999999998</v>
      </c>
      <c r="U25" s="17" t="s">
        <v>312</v>
      </c>
      <c r="V25" s="23" t="s">
        <v>121</v>
      </c>
    </row>
    <row r="26" spans="1:22" ht="12.75">
      <c r="A26" s="94" t="s">
        <v>0</v>
      </c>
      <c r="B26" s="94"/>
      <c r="C26" s="94"/>
      <c r="D26" s="94"/>
      <c r="E26" s="94"/>
      <c r="F26" s="94"/>
      <c r="G26" s="94"/>
      <c r="H26" s="65">
        <f aca="true" t="shared" si="2" ref="H26:S26">SUM(H25:H25)</f>
        <v>569.03</v>
      </c>
      <c r="I26" s="65">
        <f t="shared" si="2"/>
        <v>569.03</v>
      </c>
      <c r="J26" s="65">
        <f t="shared" si="2"/>
        <v>569.03</v>
      </c>
      <c r="K26" s="65">
        <f t="shared" si="2"/>
        <v>569.03</v>
      </c>
      <c r="L26" s="65">
        <f t="shared" si="2"/>
        <v>569.03</v>
      </c>
      <c r="M26" s="65">
        <f t="shared" si="2"/>
        <v>569.03</v>
      </c>
      <c r="N26" s="65">
        <f t="shared" si="2"/>
        <v>569.03</v>
      </c>
      <c r="O26" s="65">
        <f t="shared" si="2"/>
        <v>569.03</v>
      </c>
      <c r="P26" s="65">
        <f t="shared" si="2"/>
        <v>569.03</v>
      </c>
      <c r="Q26" s="65">
        <f t="shared" si="2"/>
        <v>569.03</v>
      </c>
      <c r="R26" s="65">
        <f t="shared" si="2"/>
        <v>569.03</v>
      </c>
      <c r="S26" s="65">
        <f t="shared" si="2"/>
        <v>707.21</v>
      </c>
      <c r="T26" s="16">
        <f>SUM(H26:S26)</f>
        <v>6966.539999999998</v>
      </c>
      <c r="U26" s="95"/>
      <c r="V26" s="95"/>
    </row>
    <row r="27" spans="1:22" s="21" customFormat="1" ht="12.75">
      <c r="A27" s="8"/>
      <c r="B27" s="8"/>
      <c r="C27" s="8"/>
      <c r="D27" s="8"/>
      <c r="E27" s="8"/>
      <c r="F27" s="8"/>
      <c r="G27" s="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0"/>
      <c r="V27" s="10"/>
    </row>
    <row r="28" spans="1:22" s="21" customFormat="1" ht="15">
      <c r="A28" s="101" t="s">
        <v>391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3"/>
    </row>
    <row r="29" spans="1:22" ht="30" customHeight="1">
      <c r="A29" s="11" t="s">
        <v>143</v>
      </c>
      <c r="B29" s="11" t="s">
        <v>145</v>
      </c>
      <c r="C29" s="12" t="s">
        <v>186</v>
      </c>
      <c r="D29" s="13" t="s">
        <v>155</v>
      </c>
      <c r="E29" s="14">
        <v>43435</v>
      </c>
      <c r="F29" s="12" t="s">
        <v>156</v>
      </c>
      <c r="G29" s="14">
        <v>44165</v>
      </c>
      <c r="H29" s="15">
        <v>8800</v>
      </c>
      <c r="I29" s="15">
        <v>7600</v>
      </c>
      <c r="J29" s="15">
        <v>8400</v>
      </c>
      <c r="K29" s="15">
        <v>7600</v>
      </c>
      <c r="L29" s="40">
        <v>7600</v>
      </c>
      <c r="M29" s="15">
        <v>7600</v>
      </c>
      <c r="N29" s="15">
        <v>8800</v>
      </c>
      <c r="O29" s="15">
        <v>8400</v>
      </c>
      <c r="P29" s="15">
        <v>8000</v>
      </c>
      <c r="Q29" s="15">
        <v>6800</v>
      </c>
      <c r="R29" s="15">
        <v>7200</v>
      </c>
      <c r="S29" s="15">
        <v>6400</v>
      </c>
      <c r="T29" s="59">
        <f>SUM(H29:S29)</f>
        <v>93200</v>
      </c>
      <c r="U29" s="17" t="s">
        <v>307</v>
      </c>
      <c r="V29" s="13" t="s">
        <v>121</v>
      </c>
    </row>
    <row r="30" spans="1:22" ht="30" customHeight="1">
      <c r="A30" s="11" t="s">
        <v>143</v>
      </c>
      <c r="B30" s="11" t="s">
        <v>145</v>
      </c>
      <c r="C30" s="12" t="s">
        <v>380</v>
      </c>
      <c r="D30" s="13" t="s">
        <v>381</v>
      </c>
      <c r="E30" s="14">
        <v>43983</v>
      </c>
      <c r="F30" s="12" t="s">
        <v>382</v>
      </c>
      <c r="G30" s="14">
        <v>44347</v>
      </c>
      <c r="H30" s="15">
        <v>0</v>
      </c>
      <c r="I30" s="15">
        <v>0</v>
      </c>
      <c r="J30" s="15">
        <v>0</v>
      </c>
      <c r="K30" s="15">
        <v>0</v>
      </c>
      <c r="L30" s="40">
        <v>0</v>
      </c>
      <c r="M30" s="15">
        <v>3584.4</v>
      </c>
      <c r="N30" s="15">
        <v>9173.6</v>
      </c>
      <c r="O30" s="15">
        <v>8518.8</v>
      </c>
      <c r="P30" s="15">
        <v>8578.8</v>
      </c>
      <c r="Q30" s="15">
        <v>6159.2</v>
      </c>
      <c r="R30" s="15">
        <v>6374</v>
      </c>
      <c r="S30" s="40">
        <v>6159.2</v>
      </c>
      <c r="T30" s="59">
        <f>SUM(H30:S30)</f>
        <v>48547.99999999999</v>
      </c>
      <c r="U30" s="17" t="s">
        <v>307</v>
      </c>
      <c r="V30" s="13" t="s">
        <v>121</v>
      </c>
    </row>
    <row r="31" spans="1:24" ht="30" customHeight="1">
      <c r="A31" s="42" t="s">
        <v>143</v>
      </c>
      <c r="B31" s="42" t="s">
        <v>145</v>
      </c>
      <c r="C31" s="43" t="s">
        <v>187</v>
      </c>
      <c r="D31" s="44" t="s">
        <v>169</v>
      </c>
      <c r="E31" s="45">
        <v>43435</v>
      </c>
      <c r="F31" s="43" t="s">
        <v>72</v>
      </c>
      <c r="G31" s="45">
        <v>44165</v>
      </c>
      <c r="H31" s="46">
        <v>2377.87</v>
      </c>
      <c r="I31" s="46">
        <v>1425.07</v>
      </c>
      <c r="J31" s="46">
        <v>2822.33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7">
        <f aca="true" t="shared" si="3" ref="T31:T108">SUM(H31:S31)</f>
        <v>6625.2699999999995</v>
      </c>
      <c r="U31" s="17" t="s">
        <v>307</v>
      </c>
      <c r="V31" s="13" t="s">
        <v>121</v>
      </c>
      <c r="X31" s="2" t="s">
        <v>427</v>
      </c>
    </row>
    <row r="32" spans="1:22" ht="30" customHeight="1">
      <c r="A32" s="11" t="s">
        <v>143</v>
      </c>
      <c r="B32" s="11" t="s">
        <v>145</v>
      </c>
      <c r="C32" s="12" t="s">
        <v>208</v>
      </c>
      <c r="D32" s="13" t="s">
        <v>223</v>
      </c>
      <c r="E32" s="14">
        <v>43497</v>
      </c>
      <c r="F32" s="12" t="s">
        <v>215</v>
      </c>
      <c r="G32" s="14">
        <v>43861</v>
      </c>
      <c r="H32" s="15">
        <v>9412.5</v>
      </c>
      <c r="I32" s="15">
        <v>7592.5</v>
      </c>
      <c r="J32" s="15">
        <v>9125</v>
      </c>
      <c r="K32" s="15">
        <v>8800</v>
      </c>
      <c r="L32" s="40">
        <v>7012.5</v>
      </c>
      <c r="M32" s="15">
        <v>10427.5</v>
      </c>
      <c r="N32" s="15">
        <v>9825</v>
      </c>
      <c r="O32" s="15">
        <v>8577.5</v>
      </c>
      <c r="P32" s="15">
        <v>9562.5</v>
      </c>
      <c r="Q32" s="15">
        <v>9762.5</v>
      </c>
      <c r="R32" s="15">
        <v>10382.5</v>
      </c>
      <c r="S32" s="40">
        <v>10552.5</v>
      </c>
      <c r="T32" s="59">
        <f t="shared" si="3"/>
        <v>111032.5</v>
      </c>
      <c r="U32" s="17" t="s">
        <v>307</v>
      </c>
      <c r="V32" s="13" t="s">
        <v>121</v>
      </c>
    </row>
    <row r="33" spans="1:22" s="52" customFormat="1" ht="30" customHeight="1">
      <c r="A33" s="42" t="s">
        <v>336</v>
      </c>
      <c r="B33" s="42" t="s">
        <v>145</v>
      </c>
      <c r="C33" s="43" t="s">
        <v>266</v>
      </c>
      <c r="D33" s="44" t="s">
        <v>267</v>
      </c>
      <c r="E33" s="45">
        <v>43556</v>
      </c>
      <c r="F33" s="43" t="s">
        <v>268</v>
      </c>
      <c r="G33" s="45">
        <v>43921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7">
        <f t="shared" si="3"/>
        <v>0</v>
      </c>
      <c r="U33" s="48" t="s">
        <v>307</v>
      </c>
      <c r="V33" s="44" t="s">
        <v>121</v>
      </c>
    </row>
    <row r="34" spans="1:24" ht="30" customHeight="1">
      <c r="A34" s="42" t="s">
        <v>143</v>
      </c>
      <c r="B34" s="42" t="s">
        <v>145</v>
      </c>
      <c r="C34" s="43" t="s">
        <v>377</v>
      </c>
      <c r="D34" s="44" t="s">
        <v>383</v>
      </c>
      <c r="E34" s="45">
        <v>44098</v>
      </c>
      <c r="F34" s="43" t="s">
        <v>384</v>
      </c>
      <c r="G34" s="45">
        <v>44462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330</v>
      </c>
      <c r="Q34" s="46">
        <v>2510</v>
      </c>
      <c r="R34" s="46">
        <v>0</v>
      </c>
      <c r="S34" s="46">
        <v>0</v>
      </c>
      <c r="T34" s="47">
        <f t="shared" si="3"/>
        <v>2840</v>
      </c>
      <c r="U34" s="17" t="s">
        <v>307</v>
      </c>
      <c r="V34" s="13" t="s">
        <v>121</v>
      </c>
      <c r="X34" s="2" t="s">
        <v>427</v>
      </c>
    </row>
    <row r="35" spans="1:22" ht="30" customHeight="1">
      <c r="A35" s="11" t="s">
        <v>143</v>
      </c>
      <c r="B35" s="11" t="s">
        <v>145</v>
      </c>
      <c r="C35" s="12" t="s">
        <v>188</v>
      </c>
      <c r="D35" s="13" t="s">
        <v>105</v>
      </c>
      <c r="E35" s="14">
        <v>43435</v>
      </c>
      <c r="F35" s="12" t="s">
        <v>75</v>
      </c>
      <c r="G35" s="14">
        <v>44165</v>
      </c>
      <c r="H35" s="15">
        <v>3510</v>
      </c>
      <c r="I35" s="15">
        <v>2820</v>
      </c>
      <c r="J35" s="15">
        <v>1680</v>
      </c>
      <c r="K35" s="15">
        <v>0</v>
      </c>
      <c r="L35" s="40">
        <v>3140</v>
      </c>
      <c r="M35" s="15">
        <v>4440</v>
      </c>
      <c r="N35" s="15">
        <v>4470</v>
      </c>
      <c r="O35" s="15">
        <v>3727.5</v>
      </c>
      <c r="P35" s="15">
        <v>4260</v>
      </c>
      <c r="Q35" s="15">
        <v>4167.5</v>
      </c>
      <c r="R35" s="15">
        <v>3540</v>
      </c>
      <c r="S35" s="40">
        <v>3155.25</v>
      </c>
      <c r="T35" s="59">
        <f t="shared" si="3"/>
        <v>38910.25</v>
      </c>
      <c r="U35" s="17" t="s">
        <v>307</v>
      </c>
      <c r="V35" s="13" t="s">
        <v>121</v>
      </c>
    </row>
    <row r="36" spans="1:22" ht="30" customHeight="1">
      <c r="A36" s="11" t="s">
        <v>143</v>
      </c>
      <c r="B36" s="11" t="s">
        <v>145</v>
      </c>
      <c r="C36" s="12" t="s">
        <v>274</v>
      </c>
      <c r="D36" s="13" t="s">
        <v>275</v>
      </c>
      <c r="E36" s="14">
        <v>43685</v>
      </c>
      <c r="F36" s="12" t="s">
        <v>276</v>
      </c>
      <c r="G36" s="14">
        <v>44050</v>
      </c>
      <c r="H36" s="15">
        <v>47098.1</v>
      </c>
      <c r="I36" s="15">
        <v>51602.3</v>
      </c>
      <c r="J36" s="15">
        <v>44538.4</v>
      </c>
      <c r="K36" s="15">
        <v>43008.8</v>
      </c>
      <c r="L36" s="40">
        <v>54187.3</v>
      </c>
      <c r="M36" s="15">
        <v>85868.27</v>
      </c>
      <c r="N36" s="15">
        <v>54038.05</v>
      </c>
      <c r="O36" s="15">
        <v>54119.2</v>
      </c>
      <c r="P36" s="15">
        <v>91450.77</v>
      </c>
      <c r="Q36" s="15">
        <v>132758.9</v>
      </c>
      <c r="R36" s="15">
        <f>5710.6+5578.35+75006.7</f>
        <v>86295.65</v>
      </c>
      <c r="S36" s="40">
        <f>6369.15+52284.18+5792.15</f>
        <v>64445.48</v>
      </c>
      <c r="T36" s="59">
        <f t="shared" si="3"/>
        <v>809411.22</v>
      </c>
      <c r="U36" s="17" t="s">
        <v>307</v>
      </c>
      <c r="V36" s="13" t="s">
        <v>121</v>
      </c>
    </row>
    <row r="37" spans="1:22" ht="30" customHeight="1">
      <c r="A37" s="11" t="s">
        <v>143</v>
      </c>
      <c r="B37" s="11" t="s">
        <v>145</v>
      </c>
      <c r="C37" s="12" t="s">
        <v>209</v>
      </c>
      <c r="D37" s="13" t="s">
        <v>221</v>
      </c>
      <c r="E37" s="14">
        <v>43497</v>
      </c>
      <c r="F37" s="12" t="s">
        <v>222</v>
      </c>
      <c r="G37" s="14">
        <v>43861</v>
      </c>
      <c r="H37" s="15">
        <v>13989</v>
      </c>
      <c r="I37" s="15">
        <v>12892.5</v>
      </c>
      <c r="J37" s="15">
        <f>7829+7022.5</f>
        <v>14851.5</v>
      </c>
      <c r="K37" s="15">
        <f>9575+4425</f>
        <v>14000</v>
      </c>
      <c r="L37" s="40">
        <v>11627</v>
      </c>
      <c r="M37" s="15">
        <v>13766.5</v>
      </c>
      <c r="N37" s="15">
        <v>12256.5</v>
      </c>
      <c r="O37" s="15">
        <f>8322.5+6640</f>
        <v>14962.5</v>
      </c>
      <c r="P37" s="15">
        <f>7875+5152</f>
        <v>13027</v>
      </c>
      <c r="Q37" s="15">
        <f>5492.5+4572+450</f>
        <v>10514.5</v>
      </c>
      <c r="R37" s="15">
        <f>7070+7140</f>
        <v>14210</v>
      </c>
      <c r="S37" s="40">
        <f>4347+6660</f>
        <v>11007</v>
      </c>
      <c r="T37" s="59">
        <f t="shared" si="3"/>
        <v>157104</v>
      </c>
      <c r="U37" s="17" t="s">
        <v>307</v>
      </c>
      <c r="V37" s="13" t="s">
        <v>121</v>
      </c>
    </row>
    <row r="38" spans="1:22" ht="30" customHeight="1">
      <c r="A38" s="11" t="s">
        <v>143</v>
      </c>
      <c r="B38" s="11" t="s">
        <v>145</v>
      </c>
      <c r="C38" s="12" t="s">
        <v>422</v>
      </c>
      <c r="D38" s="13" t="s">
        <v>335</v>
      </c>
      <c r="E38" s="14">
        <v>43867</v>
      </c>
      <c r="F38" s="12" t="s">
        <v>76</v>
      </c>
      <c r="G38" s="14">
        <v>44232</v>
      </c>
      <c r="H38" s="15">
        <v>0</v>
      </c>
      <c r="I38" s="15">
        <v>2120.4</v>
      </c>
      <c r="J38" s="15">
        <v>2587.2</v>
      </c>
      <c r="K38" s="15">
        <v>2827.2</v>
      </c>
      <c r="L38" s="40">
        <v>2587.2</v>
      </c>
      <c r="M38" s="15">
        <v>2240.4</v>
      </c>
      <c r="N38" s="15">
        <v>2987.2</v>
      </c>
      <c r="O38" s="15">
        <v>2612.2</v>
      </c>
      <c r="P38" s="15">
        <v>4774.4</v>
      </c>
      <c r="Q38" s="15">
        <v>2612.2</v>
      </c>
      <c r="R38" s="15">
        <v>2607.2</v>
      </c>
      <c r="S38" s="40">
        <v>1922.4</v>
      </c>
      <c r="T38" s="59">
        <f t="shared" si="3"/>
        <v>29878</v>
      </c>
      <c r="U38" s="17" t="s">
        <v>307</v>
      </c>
      <c r="V38" s="13" t="s">
        <v>121</v>
      </c>
    </row>
    <row r="39" spans="1:22" ht="30" customHeight="1">
      <c r="A39" s="11" t="s">
        <v>143</v>
      </c>
      <c r="B39" s="11" t="s">
        <v>145</v>
      </c>
      <c r="C39" s="12" t="s">
        <v>189</v>
      </c>
      <c r="D39" s="13" t="s">
        <v>160</v>
      </c>
      <c r="E39" s="14">
        <v>43435</v>
      </c>
      <c r="F39" s="12" t="s">
        <v>70</v>
      </c>
      <c r="G39" s="14">
        <v>44165</v>
      </c>
      <c r="H39" s="15">
        <v>10435</v>
      </c>
      <c r="I39" s="15">
        <v>8545</v>
      </c>
      <c r="J39" s="15">
        <v>8760</v>
      </c>
      <c r="K39" s="15">
        <v>5225</v>
      </c>
      <c r="L39" s="40">
        <v>11025</v>
      </c>
      <c r="M39" s="15">
        <v>11850</v>
      </c>
      <c r="N39" s="15">
        <v>9925</v>
      </c>
      <c r="O39" s="15">
        <v>11865</v>
      </c>
      <c r="P39" s="15">
        <v>11510</v>
      </c>
      <c r="Q39" s="15">
        <v>10980</v>
      </c>
      <c r="R39" s="15">
        <v>9735</v>
      </c>
      <c r="S39" s="40">
        <v>7405</v>
      </c>
      <c r="T39" s="59">
        <f t="shared" si="3"/>
        <v>117260</v>
      </c>
      <c r="U39" s="17" t="s">
        <v>307</v>
      </c>
      <c r="V39" s="13" t="s">
        <v>121</v>
      </c>
    </row>
    <row r="40" spans="1:22" ht="30" customHeight="1">
      <c r="A40" s="11" t="s">
        <v>143</v>
      </c>
      <c r="B40" s="11" t="s">
        <v>145</v>
      </c>
      <c r="C40" s="12" t="s">
        <v>190</v>
      </c>
      <c r="D40" s="23" t="s">
        <v>42</v>
      </c>
      <c r="E40" s="14">
        <v>43435</v>
      </c>
      <c r="F40" s="12" t="s">
        <v>151</v>
      </c>
      <c r="G40" s="14">
        <v>44165</v>
      </c>
      <c r="H40" s="15">
        <v>9535</v>
      </c>
      <c r="I40" s="15">
        <v>7840</v>
      </c>
      <c r="J40" s="15">
        <f>6765+757.5</f>
        <v>7522.5</v>
      </c>
      <c r="K40" s="15">
        <f>6645+910</f>
        <v>7555</v>
      </c>
      <c r="L40" s="40">
        <v>9265</v>
      </c>
      <c r="M40" s="15">
        <v>9812.5</v>
      </c>
      <c r="N40" s="15">
        <v>10765</v>
      </c>
      <c r="O40" s="15">
        <f>895+9740</f>
        <v>10635</v>
      </c>
      <c r="P40" s="15">
        <f>1130+9680</f>
        <v>10810</v>
      </c>
      <c r="Q40" s="15">
        <f>6690+925</f>
        <v>7615</v>
      </c>
      <c r="R40" s="15">
        <f>880+6675</f>
        <v>7555</v>
      </c>
      <c r="S40" s="40">
        <f>7210+880</f>
        <v>8090</v>
      </c>
      <c r="T40" s="59">
        <f t="shared" si="3"/>
        <v>107000</v>
      </c>
      <c r="U40" s="17" t="s">
        <v>307</v>
      </c>
      <c r="V40" s="23" t="s">
        <v>121</v>
      </c>
    </row>
    <row r="41" spans="1:22" ht="30" customHeight="1">
      <c r="A41" s="11" t="s">
        <v>143</v>
      </c>
      <c r="B41" s="11" t="s">
        <v>145</v>
      </c>
      <c r="C41" s="12" t="s">
        <v>339</v>
      </c>
      <c r="D41" s="23" t="s">
        <v>344</v>
      </c>
      <c r="E41" s="14">
        <v>43911</v>
      </c>
      <c r="F41" s="12" t="s">
        <v>284</v>
      </c>
      <c r="G41" s="14">
        <v>44275</v>
      </c>
      <c r="H41" s="15">
        <v>0</v>
      </c>
      <c r="I41" s="15">
        <v>0</v>
      </c>
      <c r="J41" s="15">
        <f>3400+340</f>
        <v>3740</v>
      </c>
      <c r="K41" s="15">
        <v>2640</v>
      </c>
      <c r="L41" s="40">
        <v>2640</v>
      </c>
      <c r="M41" s="15">
        <v>11880</v>
      </c>
      <c r="N41" s="15">
        <v>13750</v>
      </c>
      <c r="O41" s="15">
        <v>2800</v>
      </c>
      <c r="P41" s="15">
        <v>6330</v>
      </c>
      <c r="Q41" s="15">
        <v>5720</v>
      </c>
      <c r="R41" s="15">
        <v>5280</v>
      </c>
      <c r="S41" s="40">
        <v>10633.33</v>
      </c>
      <c r="T41" s="59">
        <f t="shared" si="3"/>
        <v>65413.33</v>
      </c>
      <c r="U41" s="17" t="s">
        <v>307</v>
      </c>
      <c r="V41" s="23" t="s">
        <v>121</v>
      </c>
    </row>
    <row r="42" spans="1:22" ht="30" customHeight="1">
      <c r="A42" s="11" t="s">
        <v>143</v>
      </c>
      <c r="B42" s="11" t="s">
        <v>145</v>
      </c>
      <c r="C42" s="12" t="s">
        <v>225</v>
      </c>
      <c r="D42" s="13" t="s">
        <v>176</v>
      </c>
      <c r="E42" s="14">
        <v>43435</v>
      </c>
      <c r="F42" s="12" t="s">
        <v>177</v>
      </c>
      <c r="G42" s="14">
        <v>44165</v>
      </c>
      <c r="H42" s="15">
        <v>22612.5</v>
      </c>
      <c r="I42" s="15">
        <v>16275</v>
      </c>
      <c r="J42" s="15">
        <v>17750</v>
      </c>
      <c r="K42" s="15">
        <v>16002.5</v>
      </c>
      <c r="L42" s="40">
        <v>19030</v>
      </c>
      <c r="M42" s="15">
        <v>20855</v>
      </c>
      <c r="N42" s="15">
        <v>15665</v>
      </c>
      <c r="O42" s="15">
        <v>25435</v>
      </c>
      <c r="P42" s="15">
        <v>21887.5</v>
      </c>
      <c r="Q42" s="15">
        <v>19227.5</v>
      </c>
      <c r="R42" s="15">
        <v>18697.5</v>
      </c>
      <c r="S42" s="40">
        <v>16510</v>
      </c>
      <c r="T42" s="59">
        <f t="shared" si="3"/>
        <v>229947.5</v>
      </c>
      <c r="U42" s="17" t="s">
        <v>307</v>
      </c>
      <c r="V42" s="13" t="s">
        <v>121</v>
      </c>
    </row>
    <row r="43" spans="1:22" ht="30" customHeight="1">
      <c r="A43" s="11" t="s">
        <v>143</v>
      </c>
      <c r="B43" s="11" t="s">
        <v>145</v>
      </c>
      <c r="C43" s="12" t="s">
        <v>224</v>
      </c>
      <c r="D43" s="23" t="s">
        <v>45</v>
      </c>
      <c r="E43" s="14">
        <v>43435</v>
      </c>
      <c r="F43" s="12" t="s">
        <v>73</v>
      </c>
      <c r="G43" s="14">
        <v>44165</v>
      </c>
      <c r="H43" s="15">
        <v>1980</v>
      </c>
      <c r="I43" s="15">
        <v>1980</v>
      </c>
      <c r="J43" s="15">
        <v>1200</v>
      </c>
      <c r="K43" s="15">
        <v>0</v>
      </c>
      <c r="L43" s="40">
        <v>1320</v>
      </c>
      <c r="M43" s="15">
        <v>1980</v>
      </c>
      <c r="N43" s="15">
        <v>1980</v>
      </c>
      <c r="O43" s="15">
        <v>1980</v>
      </c>
      <c r="P43" s="15">
        <v>1320</v>
      </c>
      <c r="Q43" s="15">
        <v>1800</v>
      </c>
      <c r="R43" s="15">
        <v>1980</v>
      </c>
      <c r="S43" s="40">
        <v>2007.5</v>
      </c>
      <c r="T43" s="59">
        <f t="shared" si="3"/>
        <v>19527.5</v>
      </c>
      <c r="U43" s="17" t="s">
        <v>307</v>
      </c>
      <c r="V43" s="23" t="s">
        <v>121</v>
      </c>
    </row>
    <row r="44" spans="1:22" s="52" customFormat="1" ht="30" customHeight="1">
      <c r="A44" s="42" t="s">
        <v>336</v>
      </c>
      <c r="B44" s="42" t="s">
        <v>145</v>
      </c>
      <c r="C44" s="43" t="s">
        <v>226</v>
      </c>
      <c r="D44" s="44" t="s">
        <v>107</v>
      </c>
      <c r="E44" s="45">
        <v>43435</v>
      </c>
      <c r="F44" s="43" t="s">
        <v>117</v>
      </c>
      <c r="G44" s="45">
        <v>44165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7">
        <f t="shared" si="3"/>
        <v>0</v>
      </c>
      <c r="U44" s="48" t="s">
        <v>307</v>
      </c>
      <c r="V44" s="44" t="s">
        <v>121</v>
      </c>
    </row>
    <row r="45" spans="1:22" ht="30" customHeight="1">
      <c r="A45" s="11" t="s">
        <v>143</v>
      </c>
      <c r="B45" s="11" t="s">
        <v>145</v>
      </c>
      <c r="C45" s="12" t="s">
        <v>227</v>
      </c>
      <c r="D45" s="23" t="s">
        <v>43</v>
      </c>
      <c r="E45" s="14">
        <v>43435</v>
      </c>
      <c r="F45" s="12" t="s">
        <v>69</v>
      </c>
      <c r="G45" s="14">
        <v>44165</v>
      </c>
      <c r="H45" s="15">
        <v>12945</v>
      </c>
      <c r="I45" s="15">
        <v>14305</v>
      </c>
      <c r="J45" s="15">
        <f>5620+4955</f>
        <v>10575</v>
      </c>
      <c r="K45" s="15">
        <f>3900+4087.5</f>
        <v>7987.5</v>
      </c>
      <c r="L45" s="40">
        <v>5370</v>
      </c>
      <c r="M45" s="15">
        <v>4330</v>
      </c>
      <c r="N45" s="15">
        <v>6125</v>
      </c>
      <c r="O45" s="15">
        <f>355+5530</f>
        <v>5885</v>
      </c>
      <c r="P45" s="15">
        <f>580+5710</f>
        <v>6290</v>
      </c>
      <c r="Q45" s="15">
        <f>3235+5510</f>
        <v>8745</v>
      </c>
      <c r="R45" s="15">
        <f>9882.5+4900</f>
        <v>14782.5</v>
      </c>
      <c r="S45" s="40">
        <f>2400+9544.16</f>
        <v>11944.16</v>
      </c>
      <c r="T45" s="59">
        <f t="shared" si="3"/>
        <v>109284.16</v>
      </c>
      <c r="U45" s="17" t="s">
        <v>307</v>
      </c>
      <c r="V45" s="23" t="s">
        <v>121</v>
      </c>
    </row>
    <row r="46" spans="1:22" ht="30" customHeight="1">
      <c r="A46" s="11" t="s">
        <v>143</v>
      </c>
      <c r="B46" s="11" t="s">
        <v>145</v>
      </c>
      <c r="C46" s="12" t="s">
        <v>228</v>
      </c>
      <c r="D46" s="13" t="s">
        <v>175</v>
      </c>
      <c r="E46" s="14">
        <v>43435</v>
      </c>
      <c r="F46" s="12" t="s">
        <v>82</v>
      </c>
      <c r="G46" s="14">
        <v>44165</v>
      </c>
      <c r="H46" s="15">
        <v>7393.33</v>
      </c>
      <c r="I46" s="15">
        <v>9100</v>
      </c>
      <c r="J46" s="15">
        <v>4700</v>
      </c>
      <c r="K46" s="15">
        <v>500</v>
      </c>
      <c r="L46" s="40">
        <v>4240</v>
      </c>
      <c r="M46" s="15">
        <v>16120</v>
      </c>
      <c r="N46" s="15">
        <v>14066.67</v>
      </c>
      <c r="O46" s="15">
        <v>14543.33</v>
      </c>
      <c r="P46" s="15">
        <v>15276.67</v>
      </c>
      <c r="Q46" s="15">
        <v>13553.33</v>
      </c>
      <c r="R46" s="15">
        <v>14250</v>
      </c>
      <c r="S46" s="40">
        <v>8603.33</v>
      </c>
      <c r="T46" s="59">
        <f t="shared" si="3"/>
        <v>122346.66</v>
      </c>
      <c r="U46" s="17" t="s">
        <v>307</v>
      </c>
      <c r="V46" s="13" t="s">
        <v>121</v>
      </c>
    </row>
    <row r="47" spans="1:22" ht="30" customHeight="1">
      <c r="A47" s="11" t="s">
        <v>143</v>
      </c>
      <c r="B47" s="11" t="s">
        <v>145</v>
      </c>
      <c r="C47" s="12" t="s">
        <v>229</v>
      </c>
      <c r="D47" s="13" t="s">
        <v>46</v>
      </c>
      <c r="E47" s="14">
        <v>43435</v>
      </c>
      <c r="F47" s="12" t="s">
        <v>76</v>
      </c>
      <c r="G47" s="14">
        <v>44165</v>
      </c>
      <c r="H47" s="15">
        <v>4175.83</v>
      </c>
      <c r="I47" s="15">
        <v>5199.99</v>
      </c>
      <c r="J47" s="15">
        <f>880+3299.99</f>
        <v>4179.99</v>
      </c>
      <c r="K47" s="15">
        <v>0</v>
      </c>
      <c r="L47" s="40">
        <v>4399.99</v>
      </c>
      <c r="M47" s="15">
        <v>4799.99</v>
      </c>
      <c r="N47" s="15">
        <v>4799.99</v>
      </c>
      <c r="O47" s="15">
        <f>4399.99+400</f>
        <v>4799.99</v>
      </c>
      <c r="P47" s="15">
        <f>455+4399.99</f>
        <v>4854.99</v>
      </c>
      <c r="Q47" s="15">
        <f>4399.99+400</f>
        <v>4799.99</v>
      </c>
      <c r="R47" s="15">
        <f>440+4399.99</f>
        <v>4839.99</v>
      </c>
      <c r="S47" s="40">
        <f>4033.33+440</f>
        <v>4473.33</v>
      </c>
      <c r="T47" s="59">
        <f t="shared" si="3"/>
        <v>51324.06999999999</v>
      </c>
      <c r="U47" s="17" t="s">
        <v>307</v>
      </c>
      <c r="V47" s="13" t="s">
        <v>121</v>
      </c>
    </row>
    <row r="48" spans="1:22" ht="30" customHeight="1">
      <c r="A48" s="11" t="s">
        <v>143</v>
      </c>
      <c r="B48" s="11" t="s">
        <v>145</v>
      </c>
      <c r="C48" s="12" t="s">
        <v>230</v>
      </c>
      <c r="D48" s="13" t="s">
        <v>153</v>
      </c>
      <c r="E48" s="14">
        <v>43435</v>
      </c>
      <c r="F48" s="12" t="s">
        <v>154</v>
      </c>
      <c r="G48" s="14">
        <v>44165</v>
      </c>
      <c r="H48" s="15">
        <v>18176.5</v>
      </c>
      <c r="I48" s="15">
        <v>17996.5</v>
      </c>
      <c r="J48" s="15">
        <v>16848</v>
      </c>
      <c r="K48" s="15">
        <v>16838</v>
      </c>
      <c r="L48" s="40">
        <v>19248</v>
      </c>
      <c r="M48" s="15">
        <v>24073</v>
      </c>
      <c r="N48" s="15">
        <v>18476.5</v>
      </c>
      <c r="O48" s="15">
        <v>19565.5</v>
      </c>
      <c r="P48" s="15">
        <v>20735.5</v>
      </c>
      <c r="Q48" s="15">
        <v>32613.5</v>
      </c>
      <c r="R48" s="15">
        <v>27386.5</v>
      </c>
      <c r="S48" s="40">
        <v>34351.5</v>
      </c>
      <c r="T48" s="59">
        <f t="shared" si="3"/>
        <v>266309</v>
      </c>
      <c r="U48" s="17" t="s">
        <v>307</v>
      </c>
      <c r="V48" s="13" t="s">
        <v>121</v>
      </c>
    </row>
    <row r="49" spans="1:22" ht="30" customHeight="1">
      <c r="A49" s="11" t="s">
        <v>143</v>
      </c>
      <c r="B49" s="11" t="s">
        <v>145</v>
      </c>
      <c r="C49" s="12" t="s">
        <v>231</v>
      </c>
      <c r="D49" s="13" t="s">
        <v>44</v>
      </c>
      <c r="E49" s="14">
        <v>43435</v>
      </c>
      <c r="F49" s="12" t="s">
        <v>115</v>
      </c>
      <c r="G49" s="14">
        <v>44165</v>
      </c>
      <c r="H49" s="15">
        <v>700</v>
      </c>
      <c r="I49" s="15">
        <v>200</v>
      </c>
      <c r="J49" s="15">
        <v>300</v>
      </c>
      <c r="K49" s="15">
        <v>0</v>
      </c>
      <c r="L49" s="40">
        <v>1225</v>
      </c>
      <c r="M49" s="15">
        <v>975</v>
      </c>
      <c r="N49" s="15">
        <v>1571.8</v>
      </c>
      <c r="O49" s="15">
        <f>975+821.8</f>
        <v>1796.8</v>
      </c>
      <c r="P49" s="15">
        <f>1596.8+1325</f>
        <v>2921.8</v>
      </c>
      <c r="Q49" s="15">
        <f>1046.8+875</f>
        <v>1921.8</v>
      </c>
      <c r="R49" s="15">
        <f>760+1006.8</f>
        <v>1766.8</v>
      </c>
      <c r="S49" s="40">
        <f>790+1535</f>
        <v>2325</v>
      </c>
      <c r="T49" s="59">
        <f t="shared" si="3"/>
        <v>15704</v>
      </c>
      <c r="U49" s="17" t="s">
        <v>307</v>
      </c>
      <c r="V49" s="13" t="s">
        <v>121</v>
      </c>
    </row>
    <row r="50" spans="1:22" ht="30" customHeight="1">
      <c r="A50" s="11" t="s">
        <v>143</v>
      </c>
      <c r="B50" s="11" t="s">
        <v>145</v>
      </c>
      <c r="C50" s="12" t="s">
        <v>294</v>
      </c>
      <c r="D50" s="13" t="s">
        <v>295</v>
      </c>
      <c r="E50" s="14">
        <v>43802</v>
      </c>
      <c r="F50" s="12" t="s">
        <v>75</v>
      </c>
      <c r="G50" s="14">
        <v>44167</v>
      </c>
      <c r="H50" s="15">
        <v>10067.5</v>
      </c>
      <c r="I50" s="15">
        <v>9467.5</v>
      </c>
      <c r="J50" s="15">
        <v>11337.5</v>
      </c>
      <c r="K50" s="15">
        <v>8112.5</v>
      </c>
      <c r="L50" s="40">
        <v>11192.5</v>
      </c>
      <c r="M50" s="15">
        <v>13355</v>
      </c>
      <c r="N50" s="15">
        <v>11497.5</v>
      </c>
      <c r="O50" s="15">
        <v>14010</v>
      </c>
      <c r="P50" s="15">
        <v>12792.5</v>
      </c>
      <c r="Q50" s="15">
        <v>18367.5</v>
      </c>
      <c r="R50" s="15">
        <v>12622.5</v>
      </c>
      <c r="S50" s="40">
        <v>10890</v>
      </c>
      <c r="T50" s="59">
        <f t="shared" si="3"/>
        <v>143712.5</v>
      </c>
      <c r="U50" s="17" t="s">
        <v>307</v>
      </c>
      <c r="V50" s="13" t="s">
        <v>121</v>
      </c>
    </row>
    <row r="51" spans="1:22" ht="30" customHeight="1">
      <c r="A51" s="11" t="s">
        <v>143</v>
      </c>
      <c r="B51" s="11" t="s">
        <v>145</v>
      </c>
      <c r="C51" s="12" t="s">
        <v>232</v>
      </c>
      <c r="D51" s="13" t="s">
        <v>47</v>
      </c>
      <c r="E51" s="14">
        <v>43435</v>
      </c>
      <c r="F51" s="12" t="s">
        <v>75</v>
      </c>
      <c r="G51" s="14">
        <v>44165</v>
      </c>
      <c r="H51" s="15">
        <v>14307.5</v>
      </c>
      <c r="I51" s="15">
        <v>15952.5</v>
      </c>
      <c r="J51" s="15">
        <f>14220+765</f>
        <v>14985</v>
      </c>
      <c r="K51" s="15">
        <v>7632.5</v>
      </c>
      <c r="L51" s="40">
        <v>15890</v>
      </c>
      <c r="M51" s="15">
        <v>20000</v>
      </c>
      <c r="N51" s="15">
        <v>20025</v>
      </c>
      <c r="O51" s="15">
        <v>20127.5</v>
      </c>
      <c r="P51" s="15">
        <v>20170</v>
      </c>
      <c r="Q51" s="15">
        <v>21882.5</v>
      </c>
      <c r="R51" s="15">
        <v>20325</v>
      </c>
      <c r="S51" s="40">
        <v>17130</v>
      </c>
      <c r="T51" s="59">
        <f t="shared" si="3"/>
        <v>208427.5</v>
      </c>
      <c r="U51" s="17" t="s">
        <v>307</v>
      </c>
      <c r="V51" s="13" t="s">
        <v>121</v>
      </c>
    </row>
    <row r="52" spans="1:22" ht="30" customHeight="1">
      <c r="A52" s="11" t="s">
        <v>143</v>
      </c>
      <c r="B52" s="11" t="s">
        <v>145</v>
      </c>
      <c r="C52" s="12" t="s">
        <v>292</v>
      </c>
      <c r="D52" s="13" t="s">
        <v>297</v>
      </c>
      <c r="E52" s="14">
        <v>43780</v>
      </c>
      <c r="F52" s="12" t="s">
        <v>298</v>
      </c>
      <c r="G52" s="14">
        <v>44145</v>
      </c>
      <c r="H52" s="15">
        <v>35554.8</v>
      </c>
      <c r="I52" s="15">
        <v>31407.6</v>
      </c>
      <c r="J52" s="15">
        <v>35394.8</v>
      </c>
      <c r="K52" s="15">
        <v>0</v>
      </c>
      <c r="L52" s="40">
        <v>20250.4</v>
      </c>
      <c r="M52" s="15">
        <v>38334.8</v>
      </c>
      <c r="N52" s="15">
        <v>30077.6</v>
      </c>
      <c r="O52" s="15">
        <v>29957.6</v>
      </c>
      <c r="P52" s="15">
        <v>33727.6</v>
      </c>
      <c r="Q52" s="15">
        <v>22333.2</v>
      </c>
      <c r="R52" s="15">
        <v>28657.6</v>
      </c>
      <c r="S52" s="40">
        <v>22973.2</v>
      </c>
      <c r="T52" s="59">
        <f t="shared" si="3"/>
        <v>328669.2</v>
      </c>
      <c r="U52" s="17" t="s">
        <v>307</v>
      </c>
      <c r="V52" s="13" t="s">
        <v>121</v>
      </c>
    </row>
    <row r="53" spans="1:22" ht="30" customHeight="1">
      <c r="A53" s="11" t="s">
        <v>143</v>
      </c>
      <c r="B53" s="11" t="s">
        <v>145</v>
      </c>
      <c r="C53" s="12" t="s">
        <v>407</v>
      </c>
      <c r="D53" s="13" t="s">
        <v>408</v>
      </c>
      <c r="E53" s="14">
        <v>44114</v>
      </c>
      <c r="F53" s="12" t="s">
        <v>409</v>
      </c>
      <c r="G53" s="14">
        <v>44478</v>
      </c>
      <c r="H53" s="15">
        <v>0</v>
      </c>
      <c r="I53" s="15">
        <v>0</v>
      </c>
      <c r="J53" s="15">
        <v>0</v>
      </c>
      <c r="K53" s="15">
        <v>0</v>
      </c>
      <c r="L53" s="40">
        <v>0</v>
      </c>
      <c r="M53" s="15">
        <v>0</v>
      </c>
      <c r="N53" s="15">
        <v>0</v>
      </c>
      <c r="O53" s="15">
        <v>0</v>
      </c>
      <c r="P53" s="15">
        <v>0</v>
      </c>
      <c r="Q53" s="15">
        <v>751.9</v>
      </c>
      <c r="R53" s="15">
        <v>712.1</v>
      </c>
      <c r="S53" s="40">
        <v>629.6</v>
      </c>
      <c r="T53" s="59">
        <f t="shared" si="3"/>
        <v>2093.6</v>
      </c>
      <c r="U53" s="17" t="s">
        <v>307</v>
      </c>
      <c r="V53" s="13" t="s">
        <v>121</v>
      </c>
    </row>
    <row r="54" spans="1:22" ht="30" customHeight="1">
      <c r="A54" s="11" t="s">
        <v>143</v>
      </c>
      <c r="B54" s="11" t="s">
        <v>145</v>
      </c>
      <c r="C54" s="12" t="s">
        <v>136</v>
      </c>
      <c r="D54" s="13" t="s">
        <v>137</v>
      </c>
      <c r="E54" s="14">
        <v>43435</v>
      </c>
      <c r="F54" s="12" t="s">
        <v>139</v>
      </c>
      <c r="G54" s="14">
        <v>44165</v>
      </c>
      <c r="H54" s="15">
        <v>5805</v>
      </c>
      <c r="I54" s="15">
        <v>8715</v>
      </c>
      <c r="J54" s="15">
        <v>5720</v>
      </c>
      <c r="K54" s="15">
        <v>6250</v>
      </c>
      <c r="L54" s="40">
        <v>11540</v>
      </c>
      <c r="M54" s="15">
        <v>13170</v>
      </c>
      <c r="N54" s="15">
        <v>9647.5</v>
      </c>
      <c r="O54" s="15">
        <v>8100</v>
      </c>
      <c r="P54" s="15">
        <v>9005</v>
      </c>
      <c r="Q54" s="15">
        <v>9195</v>
      </c>
      <c r="R54" s="15">
        <v>7990</v>
      </c>
      <c r="S54" s="40">
        <v>8372.5</v>
      </c>
      <c r="T54" s="59">
        <f t="shared" si="3"/>
        <v>103510</v>
      </c>
      <c r="U54" s="17" t="s">
        <v>307</v>
      </c>
      <c r="V54" s="13" t="s">
        <v>121</v>
      </c>
    </row>
    <row r="55" spans="1:22" ht="30" customHeight="1">
      <c r="A55" s="11" t="s">
        <v>143</v>
      </c>
      <c r="B55" s="11" t="s">
        <v>145</v>
      </c>
      <c r="C55" s="12" t="s">
        <v>233</v>
      </c>
      <c r="D55" s="23" t="s">
        <v>48</v>
      </c>
      <c r="E55" s="14">
        <v>43435</v>
      </c>
      <c r="F55" s="12" t="s">
        <v>69</v>
      </c>
      <c r="G55" s="14">
        <v>44165</v>
      </c>
      <c r="H55" s="15">
        <v>9530</v>
      </c>
      <c r="I55" s="15">
        <v>3640</v>
      </c>
      <c r="J55" s="15">
        <v>2570</v>
      </c>
      <c r="K55" s="15">
        <v>2620</v>
      </c>
      <c r="L55" s="40">
        <v>3250</v>
      </c>
      <c r="M55" s="15">
        <v>5850</v>
      </c>
      <c r="N55" s="15">
        <v>3670</v>
      </c>
      <c r="O55" s="15">
        <v>4140</v>
      </c>
      <c r="P55" s="15">
        <v>5160</v>
      </c>
      <c r="Q55" s="15">
        <v>3990</v>
      </c>
      <c r="R55" s="15">
        <v>3540</v>
      </c>
      <c r="S55" s="40">
        <v>1260</v>
      </c>
      <c r="T55" s="59">
        <f t="shared" si="3"/>
        <v>49220</v>
      </c>
      <c r="U55" s="17" t="s">
        <v>307</v>
      </c>
      <c r="V55" s="23" t="s">
        <v>121</v>
      </c>
    </row>
    <row r="56" spans="1:22" ht="30" customHeight="1">
      <c r="A56" s="11" t="s">
        <v>143</v>
      </c>
      <c r="B56" s="11" t="s">
        <v>145</v>
      </c>
      <c r="C56" s="12" t="s">
        <v>279</v>
      </c>
      <c r="D56" s="23" t="s">
        <v>280</v>
      </c>
      <c r="E56" s="14">
        <v>43320</v>
      </c>
      <c r="F56" s="12" t="s">
        <v>281</v>
      </c>
      <c r="G56" s="14">
        <v>44050</v>
      </c>
      <c r="H56" s="15">
        <v>3520</v>
      </c>
      <c r="I56" s="15">
        <v>2970</v>
      </c>
      <c r="J56" s="15">
        <v>4400</v>
      </c>
      <c r="K56" s="15">
        <v>2640</v>
      </c>
      <c r="L56" s="40">
        <v>4400</v>
      </c>
      <c r="M56" s="15">
        <v>6655</v>
      </c>
      <c r="N56" s="15">
        <v>4400</v>
      </c>
      <c r="O56" s="15">
        <v>4400</v>
      </c>
      <c r="P56" s="15">
        <v>5555</v>
      </c>
      <c r="Q56" s="15">
        <v>4400</v>
      </c>
      <c r="R56" s="15">
        <v>4400</v>
      </c>
      <c r="S56" s="40">
        <v>3355</v>
      </c>
      <c r="T56" s="59">
        <f t="shared" si="3"/>
        <v>51095</v>
      </c>
      <c r="U56" s="17" t="s">
        <v>307</v>
      </c>
      <c r="V56" s="23" t="s">
        <v>121</v>
      </c>
    </row>
    <row r="57" spans="1:22" ht="30" customHeight="1">
      <c r="A57" s="11" t="s">
        <v>143</v>
      </c>
      <c r="B57" s="11" t="s">
        <v>145</v>
      </c>
      <c r="C57" s="12" t="s">
        <v>371</v>
      </c>
      <c r="D57" s="23"/>
      <c r="E57" s="14"/>
      <c r="F57" s="12"/>
      <c r="G57" s="14"/>
      <c r="H57" s="15"/>
      <c r="I57" s="15"/>
      <c r="J57" s="15"/>
      <c r="K57" s="15"/>
      <c r="L57" s="40"/>
      <c r="M57" s="15"/>
      <c r="N57" s="15">
        <v>0</v>
      </c>
      <c r="O57" s="15">
        <v>2375</v>
      </c>
      <c r="P57" s="15">
        <v>2900</v>
      </c>
      <c r="Q57" s="15">
        <v>2450</v>
      </c>
      <c r="R57" s="15">
        <v>2312.5</v>
      </c>
      <c r="S57" s="40">
        <v>1650</v>
      </c>
      <c r="T57" s="59">
        <f t="shared" si="3"/>
        <v>11687.5</v>
      </c>
      <c r="U57" s="17" t="s">
        <v>307</v>
      </c>
      <c r="V57" s="23" t="s">
        <v>121</v>
      </c>
    </row>
    <row r="58" spans="1:22" ht="30" customHeight="1">
      <c r="A58" s="11" t="s">
        <v>143</v>
      </c>
      <c r="B58" s="11" t="s">
        <v>145</v>
      </c>
      <c r="C58" s="12" t="s">
        <v>234</v>
      </c>
      <c r="D58" s="13" t="s">
        <v>158</v>
      </c>
      <c r="E58" s="14">
        <v>43435</v>
      </c>
      <c r="F58" s="12" t="s">
        <v>82</v>
      </c>
      <c r="G58" s="14">
        <v>43889</v>
      </c>
      <c r="H58" s="15">
        <v>5756.67</v>
      </c>
      <c r="I58" s="15">
        <v>5720</v>
      </c>
      <c r="J58" s="15">
        <v>6160</v>
      </c>
      <c r="K58" s="15">
        <v>6160</v>
      </c>
      <c r="L58" s="40">
        <v>5720</v>
      </c>
      <c r="M58" s="15">
        <v>6160</v>
      </c>
      <c r="N58" s="15">
        <v>6160</v>
      </c>
      <c r="O58" s="15">
        <v>6160</v>
      </c>
      <c r="P58" s="15">
        <v>6600</v>
      </c>
      <c r="Q58" s="15">
        <v>6160</v>
      </c>
      <c r="R58" s="15">
        <v>6233.33</v>
      </c>
      <c r="S58" s="40">
        <v>6600</v>
      </c>
      <c r="T58" s="59">
        <f t="shared" si="3"/>
        <v>73590</v>
      </c>
      <c r="U58" s="17" t="s">
        <v>307</v>
      </c>
      <c r="V58" s="13" t="s">
        <v>121</v>
      </c>
    </row>
    <row r="59" spans="1:22" ht="30" customHeight="1">
      <c r="A59" s="11" t="s">
        <v>143</v>
      </c>
      <c r="B59" s="11" t="s">
        <v>145</v>
      </c>
      <c r="C59" s="12" t="s">
        <v>243</v>
      </c>
      <c r="D59" s="23" t="s">
        <v>49</v>
      </c>
      <c r="E59" s="14">
        <v>43435</v>
      </c>
      <c r="F59" s="12" t="s">
        <v>77</v>
      </c>
      <c r="G59" s="14">
        <v>44165</v>
      </c>
      <c r="H59" s="15">
        <v>18847.5</v>
      </c>
      <c r="I59" s="15">
        <v>18440</v>
      </c>
      <c r="J59" s="15">
        <v>16662.5</v>
      </c>
      <c r="K59" s="15">
        <v>18052.5</v>
      </c>
      <c r="L59" s="40">
        <v>16082.5</v>
      </c>
      <c r="M59" s="15">
        <v>22972.5</v>
      </c>
      <c r="N59" s="15">
        <v>22560</v>
      </c>
      <c r="O59" s="15">
        <v>22265</v>
      </c>
      <c r="P59" s="15">
        <v>23152.5</v>
      </c>
      <c r="Q59" s="15">
        <v>21177.5</v>
      </c>
      <c r="R59" s="15">
        <v>19280</v>
      </c>
      <c r="S59" s="40">
        <v>10127.5</v>
      </c>
      <c r="T59" s="59">
        <f t="shared" si="3"/>
        <v>229620</v>
      </c>
      <c r="U59" s="17" t="s">
        <v>307</v>
      </c>
      <c r="V59" s="23" t="s">
        <v>121</v>
      </c>
    </row>
    <row r="60" spans="1:22" ht="30" customHeight="1">
      <c r="A60" s="11" t="s">
        <v>143</v>
      </c>
      <c r="B60" s="11" t="s">
        <v>145</v>
      </c>
      <c r="C60" s="12" t="s">
        <v>244</v>
      </c>
      <c r="D60" s="13" t="s">
        <v>21</v>
      </c>
      <c r="E60" s="14">
        <v>43435</v>
      </c>
      <c r="F60" s="12" t="s">
        <v>78</v>
      </c>
      <c r="G60" s="14">
        <v>44165</v>
      </c>
      <c r="H60" s="15">
        <v>51841.5</v>
      </c>
      <c r="I60" s="15">
        <v>51823.5</v>
      </c>
      <c r="J60" s="15">
        <v>32618.4</v>
      </c>
      <c r="K60" s="15">
        <v>11112.5</v>
      </c>
      <c r="L60" s="40">
        <v>33510.1</v>
      </c>
      <c r="M60" s="15">
        <v>49030.9</v>
      </c>
      <c r="N60" s="15">
        <v>43084.8</v>
      </c>
      <c r="O60" s="15">
        <v>33841.6</v>
      </c>
      <c r="P60" s="15">
        <v>42515.1</v>
      </c>
      <c r="Q60" s="15">
        <v>43934.1</v>
      </c>
      <c r="R60" s="15">
        <v>46870.9</v>
      </c>
      <c r="S60" s="40">
        <v>40592.1</v>
      </c>
      <c r="T60" s="59">
        <f t="shared" si="3"/>
        <v>480775.49999999994</v>
      </c>
      <c r="U60" s="17" t="s">
        <v>307</v>
      </c>
      <c r="V60" s="13" t="s">
        <v>121</v>
      </c>
    </row>
    <row r="61" spans="1:22" ht="30" customHeight="1">
      <c r="A61" s="11" t="s">
        <v>143</v>
      </c>
      <c r="B61" s="11" t="s">
        <v>145</v>
      </c>
      <c r="C61" s="12" t="s">
        <v>245</v>
      </c>
      <c r="D61" s="13" t="s">
        <v>164</v>
      </c>
      <c r="E61" s="14">
        <v>43435</v>
      </c>
      <c r="F61" s="12" t="s">
        <v>162</v>
      </c>
      <c r="G61" s="14">
        <v>44165</v>
      </c>
      <c r="H61" s="15">
        <v>4410</v>
      </c>
      <c r="I61" s="15">
        <v>3430</v>
      </c>
      <c r="J61" s="15">
        <v>4830</v>
      </c>
      <c r="K61" s="15">
        <v>5600</v>
      </c>
      <c r="L61" s="40">
        <v>3220</v>
      </c>
      <c r="M61" s="15">
        <v>5040</v>
      </c>
      <c r="N61" s="15">
        <v>5145</v>
      </c>
      <c r="O61" s="15">
        <v>4130</v>
      </c>
      <c r="P61" s="15">
        <v>4375</v>
      </c>
      <c r="Q61" s="15">
        <v>5775</v>
      </c>
      <c r="R61" s="15">
        <v>4480</v>
      </c>
      <c r="S61" s="40">
        <v>2065</v>
      </c>
      <c r="T61" s="59">
        <f t="shared" si="3"/>
        <v>52500</v>
      </c>
      <c r="U61" s="17" t="s">
        <v>307</v>
      </c>
      <c r="V61" s="13" t="s">
        <v>121</v>
      </c>
    </row>
    <row r="62" spans="1:22" ht="30" customHeight="1">
      <c r="A62" s="11" t="s">
        <v>143</v>
      </c>
      <c r="B62" s="11" t="s">
        <v>145</v>
      </c>
      <c r="C62" s="12" t="s">
        <v>369</v>
      </c>
      <c r="D62" s="13"/>
      <c r="E62" s="14"/>
      <c r="F62" s="12"/>
      <c r="G62" s="14">
        <v>44165</v>
      </c>
      <c r="H62" s="15"/>
      <c r="I62" s="15"/>
      <c r="J62" s="15"/>
      <c r="K62" s="15"/>
      <c r="L62" s="40">
        <v>6280</v>
      </c>
      <c r="M62" s="15">
        <v>16440</v>
      </c>
      <c r="N62" s="15">
        <v>11750</v>
      </c>
      <c r="O62" s="15">
        <v>19480</v>
      </c>
      <c r="P62" s="15">
        <v>19570</v>
      </c>
      <c r="Q62" s="15">
        <v>17350</v>
      </c>
      <c r="R62" s="15">
        <v>13230</v>
      </c>
      <c r="S62" s="40">
        <v>14270</v>
      </c>
      <c r="T62" s="59">
        <f t="shared" si="3"/>
        <v>118370</v>
      </c>
      <c r="U62" s="17" t="s">
        <v>307</v>
      </c>
      <c r="V62" s="13" t="s">
        <v>121</v>
      </c>
    </row>
    <row r="63" spans="1:22" ht="30" customHeight="1">
      <c r="A63" s="11" t="s">
        <v>143</v>
      </c>
      <c r="B63" s="11" t="s">
        <v>145</v>
      </c>
      <c r="C63" s="12" t="s">
        <v>246</v>
      </c>
      <c r="D63" s="13" t="s">
        <v>50</v>
      </c>
      <c r="E63" s="14">
        <v>43435</v>
      </c>
      <c r="F63" s="12" t="s">
        <v>79</v>
      </c>
      <c r="G63" s="14">
        <v>44165</v>
      </c>
      <c r="H63" s="15">
        <v>13120</v>
      </c>
      <c r="I63" s="15">
        <v>19255</v>
      </c>
      <c r="J63" s="15">
        <f>7760+11057.5</f>
        <v>18817.5</v>
      </c>
      <c r="K63" s="15">
        <f>6142.5+6370</f>
        <v>12512.5</v>
      </c>
      <c r="L63" s="40">
        <v>15507.5</v>
      </c>
      <c r="M63" s="15">
        <v>24892.5</v>
      </c>
      <c r="N63" s="15">
        <v>17352.5</v>
      </c>
      <c r="O63" s="15">
        <f>12142.5+12867.5</f>
        <v>25010</v>
      </c>
      <c r="P63" s="15">
        <f>11407.5+11512.5</f>
        <v>22920</v>
      </c>
      <c r="Q63" s="15">
        <f>10707.5+10132.5</f>
        <v>20840</v>
      </c>
      <c r="R63" s="15">
        <f>10085+12087.5</f>
        <v>22172.5</v>
      </c>
      <c r="S63" s="40">
        <f>9577.5+9670</f>
        <v>19247.5</v>
      </c>
      <c r="T63" s="59">
        <f t="shared" si="3"/>
        <v>231647.5</v>
      </c>
      <c r="U63" s="17" t="s">
        <v>307</v>
      </c>
      <c r="V63" s="13" t="s">
        <v>121</v>
      </c>
    </row>
    <row r="64" spans="1:22" ht="30" customHeight="1">
      <c r="A64" s="11" t="s">
        <v>143</v>
      </c>
      <c r="B64" s="11" t="s">
        <v>145</v>
      </c>
      <c r="C64" s="12" t="s">
        <v>321</v>
      </c>
      <c r="D64" s="13" t="s">
        <v>322</v>
      </c>
      <c r="E64" s="14">
        <v>43832</v>
      </c>
      <c r="F64" s="12" t="s">
        <v>113</v>
      </c>
      <c r="G64" s="14">
        <v>44197</v>
      </c>
      <c r="H64" s="15">
        <v>1953.2</v>
      </c>
      <c r="I64" s="15">
        <v>2609.2</v>
      </c>
      <c r="J64" s="15">
        <v>2356.2</v>
      </c>
      <c r="K64" s="15">
        <v>2412.2</v>
      </c>
      <c r="L64" s="40">
        <v>1900.2</v>
      </c>
      <c r="M64" s="15">
        <v>1850.2</v>
      </c>
      <c r="N64" s="15">
        <v>2309.2</v>
      </c>
      <c r="O64" s="15">
        <v>2426.2</v>
      </c>
      <c r="P64" s="15">
        <v>2462.2</v>
      </c>
      <c r="Q64" s="15">
        <v>2309.2</v>
      </c>
      <c r="R64" s="15">
        <v>2509.2</v>
      </c>
      <c r="S64" s="40">
        <v>2309.2</v>
      </c>
      <c r="T64" s="59">
        <f t="shared" si="3"/>
        <v>27406.400000000005</v>
      </c>
      <c r="U64" s="17" t="s">
        <v>307</v>
      </c>
      <c r="V64" s="13" t="s">
        <v>121</v>
      </c>
    </row>
    <row r="65" spans="1:22" ht="30" customHeight="1">
      <c r="A65" s="11" t="s">
        <v>143</v>
      </c>
      <c r="B65" s="11" t="s">
        <v>145</v>
      </c>
      <c r="C65" s="12" t="s">
        <v>271</v>
      </c>
      <c r="D65" s="13" t="s">
        <v>285</v>
      </c>
      <c r="E65" s="14">
        <v>43605</v>
      </c>
      <c r="F65" s="12" t="s">
        <v>286</v>
      </c>
      <c r="G65" s="14">
        <v>43970</v>
      </c>
      <c r="H65" s="15">
        <v>1405.2</v>
      </c>
      <c r="I65" s="15">
        <v>1405.2</v>
      </c>
      <c r="J65" s="15">
        <v>3320.4</v>
      </c>
      <c r="K65" s="15">
        <v>642.6</v>
      </c>
      <c r="L65" s="40">
        <v>1405.2</v>
      </c>
      <c r="M65" s="15">
        <v>1405.2</v>
      </c>
      <c r="N65" s="15">
        <v>1405.2</v>
      </c>
      <c r="O65" s="15">
        <v>1405.2</v>
      </c>
      <c r="P65" s="15">
        <v>1405.2</v>
      </c>
      <c r="Q65" s="15">
        <v>0</v>
      </c>
      <c r="R65" s="15">
        <f>1405.2+1405.2</f>
        <v>2810.4</v>
      </c>
      <c r="S65" s="40">
        <v>1405.2</v>
      </c>
      <c r="T65" s="59">
        <f t="shared" si="3"/>
        <v>18015.000000000004</v>
      </c>
      <c r="U65" s="17" t="s">
        <v>307</v>
      </c>
      <c r="V65" s="13" t="s">
        <v>121</v>
      </c>
    </row>
    <row r="66" spans="1:22" ht="30" customHeight="1">
      <c r="A66" s="11" t="s">
        <v>143</v>
      </c>
      <c r="B66" s="11" t="s">
        <v>145</v>
      </c>
      <c r="C66" s="12" t="s">
        <v>247</v>
      </c>
      <c r="D66" s="13" t="s">
        <v>98</v>
      </c>
      <c r="E66" s="14">
        <v>43435</v>
      </c>
      <c r="F66" s="12" t="s">
        <v>110</v>
      </c>
      <c r="G66" s="14">
        <v>44165</v>
      </c>
      <c r="H66" s="15">
        <v>29904</v>
      </c>
      <c r="I66" s="15">
        <v>29904</v>
      </c>
      <c r="J66" s="15">
        <v>28836</v>
      </c>
      <c r="K66" s="15">
        <v>27412</v>
      </c>
      <c r="L66" s="40">
        <v>23140</v>
      </c>
      <c r="M66" s="15">
        <v>29904</v>
      </c>
      <c r="N66" s="15">
        <v>24564</v>
      </c>
      <c r="O66" s="15">
        <v>26700</v>
      </c>
      <c r="P66" s="15">
        <v>27412</v>
      </c>
      <c r="Q66" s="15">
        <v>25632</v>
      </c>
      <c r="R66" s="15">
        <v>27412</v>
      </c>
      <c r="S66" s="40">
        <v>0</v>
      </c>
      <c r="T66" s="59">
        <f t="shared" si="3"/>
        <v>300820</v>
      </c>
      <c r="U66" s="17" t="s">
        <v>307</v>
      </c>
      <c r="V66" s="13" t="s">
        <v>121</v>
      </c>
    </row>
    <row r="67" spans="1:22" ht="30" customHeight="1">
      <c r="A67" s="11" t="s">
        <v>143</v>
      </c>
      <c r="B67" s="11" t="s">
        <v>145</v>
      </c>
      <c r="C67" s="12" t="s">
        <v>248</v>
      </c>
      <c r="D67" s="13" t="s">
        <v>51</v>
      </c>
      <c r="E67" s="14">
        <v>43435</v>
      </c>
      <c r="F67" s="12" t="s">
        <v>80</v>
      </c>
      <c r="G67" s="14">
        <v>44165</v>
      </c>
      <c r="H67" s="15">
        <v>2760</v>
      </c>
      <c r="I67" s="15">
        <v>2910</v>
      </c>
      <c r="J67" s="15">
        <v>3030</v>
      </c>
      <c r="K67" s="15">
        <v>690</v>
      </c>
      <c r="L67" s="40">
        <v>2460</v>
      </c>
      <c r="M67" s="15">
        <v>3270</v>
      </c>
      <c r="N67" s="15">
        <v>1890</v>
      </c>
      <c r="O67" s="15">
        <v>1170</v>
      </c>
      <c r="P67" s="15">
        <v>1470</v>
      </c>
      <c r="Q67" s="15">
        <v>1530</v>
      </c>
      <c r="R67" s="15">
        <v>1289.99</v>
      </c>
      <c r="S67" s="40">
        <v>1050</v>
      </c>
      <c r="T67" s="59">
        <f t="shared" si="3"/>
        <v>23519.99</v>
      </c>
      <c r="U67" s="17" t="s">
        <v>307</v>
      </c>
      <c r="V67" s="13" t="s">
        <v>121</v>
      </c>
    </row>
    <row r="68" spans="1:22" ht="30" customHeight="1">
      <c r="A68" s="11" t="s">
        <v>143</v>
      </c>
      <c r="B68" s="11" t="s">
        <v>145</v>
      </c>
      <c r="C68" s="12" t="s">
        <v>249</v>
      </c>
      <c r="D68" s="13" t="s">
        <v>165</v>
      </c>
      <c r="E68" s="14">
        <v>43435</v>
      </c>
      <c r="F68" s="18" t="s">
        <v>162</v>
      </c>
      <c r="G68" s="14">
        <v>44165</v>
      </c>
      <c r="H68" s="15">
        <v>8625</v>
      </c>
      <c r="I68" s="15">
        <v>7375</v>
      </c>
      <c r="J68" s="15">
        <v>7220</v>
      </c>
      <c r="K68" s="15">
        <v>6100</v>
      </c>
      <c r="L68" s="40">
        <v>6715</v>
      </c>
      <c r="M68" s="15">
        <v>7660</v>
      </c>
      <c r="N68" s="15">
        <v>9865</v>
      </c>
      <c r="O68" s="15">
        <v>8635</v>
      </c>
      <c r="P68" s="15">
        <v>9395</v>
      </c>
      <c r="Q68" s="15">
        <v>7890</v>
      </c>
      <c r="R68" s="15">
        <v>4795</v>
      </c>
      <c r="S68" s="40">
        <v>2210</v>
      </c>
      <c r="T68" s="59">
        <f t="shared" si="3"/>
        <v>86485</v>
      </c>
      <c r="U68" s="17" t="s">
        <v>307</v>
      </c>
      <c r="V68" s="13" t="s">
        <v>121</v>
      </c>
    </row>
    <row r="69" spans="1:24" ht="30" customHeight="1">
      <c r="A69" s="42" t="s">
        <v>143</v>
      </c>
      <c r="B69" s="42" t="s">
        <v>145</v>
      </c>
      <c r="C69" s="43" t="s">
        <v>338</v>
      </c>
      <c r="D69" s="44" t="s">
        <v>345</v>
      </c>
      <c r="E69" s="45">
        <v>43899</v>
      </c>
      <c r="F69" s="43" t="s">
        <v>350</v>
      </c>
      <c r="G69" s="45">
        <v>44263</v>
      </c>
      <c r="H69" s="46">
        <v>0</v>
      </c>
      <c r="I69" s="46">
        <v>0</v>
      </c>
      <c r="J69" s="46">
        <v>687.5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7">
        <f t="shared" si="3"/>
        <v>687.5</v>
      </c>
      <c r="U69" s="17" t="s">
        <v>307</v>
      </c>
      <c r="V69" s="13" t="s">
        <v>121</v>
      </c>
      <c r="X69" s="2" t="s">
        <v>427</v>
      </c>
    </row>
    <row r="70" spans="1:22" ht="30" customHeight="1">
      <c r="A70" s="11" t="s">
        <v>143</v>
      </c>
      <c r="B70" s="11" t="s">
        <v>145</v>
      </c>
      <c r="C70" s="12" t="s">
        <v>250</v>
      </c>
      <c r="D70" s="13" t="s">
        <v>52</v>
      </c>
      <c r="E70" s="14">
        <v>43435</v>
      </c>
      <c r="F70" s="12" t="s">
        <v>72</v>
      </c>
      <c r="G70" s="14">
        <v>44165</v>
      </c>
      <c r="H70" s="15">
        <v>5051.07</v>
      </c>
      <c r="I70" s="15">
        <v>5005.87</v>
      </c>
      <c r="J70" s="15">
        <v>3317.73</v>
      </c>
      <c r="K70" s="15">
        <v>4305.87</v>
      </c>
      <c r="L70" s="40">
        <v>2582.73</v>
      </c>
      <c r="M70" s="15">
        <v>4762.53</v>
      </c>
      <c r="N70" s="15">
        <v>8114</v>
      </c>
      <c r="O70" s="15">
        <v>8003.8</v>
      </c>
      <c r="P70" s="15">
        <v>8693.8</v>
      </c>
      <c r="Q70" s="15">
        <v>8518.8</v>
      </c>
      <c r="R70" s="15">
        <v>10413.6</v>
      </c>
      <c r="S70" s="40">
        <v>8293.8</v>
      </c>
      <c r="T70" s="59">
        <f t="shared" si="3"/>
        <v>77063.6</v>
      </c>
      <c r="U70" s="17" t="s">
        <v>307</v>
      </c>
      <c r="V70" s="13" t="s">
        <v>121</v>
      </c>
    </row>
    <row r="71" spans="1:24" ht="30" customHeight="1">
      <c r="A71" s="42" t="s">
        <v>143</v>
      </c>
      <c r="B71" s="42" t="s">
        <v>145</v>
      </c>
      <c r="C71" s="43" t="s">
        <v>372</v>
      </c>
      <c r="D71" s="44"/>
      <c r="E71" s="45"/>
      <c r="F71" s="43"/>
      <c r="G71" s="45"/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2468.8</v>
      </c>
      <c r="P71" s="46">
        <v>3086</v>
      </c>
      <c r="Q71" s="46">
        <v>1671.6</v>
      </c>
      <c r="R71" s="46"/>
      <c r="S71" s="46">
        <v>0</v>
      </c>
      <c r="T71" s="47">
        <f>SUM(H71:S71)</f>
        <v>7226.4</v>
      </c>
      <c r="U71" s="17" t="s">
        <v>307</v>
      </c>
      <c r="V71" s="13" t="s">
        <v>121</v>
      </c>
      <c r="X71" s="2" t="s">
        <v>427</v>
      </c>
    </row>
    <row r="72" spans="1:24" ht="30" customHeight="1">
      <c r="A72" s="42" t="s">
        <v>143</v>
      </c>
      <c r="B72" s="42" t="s">
        <v>145</v>
      </c>
      <c r="C72" s="43" t="s">
        <v>341</v>
      </c>
      <c r="D72" s="44" t="s">
        <v>346</v>
      </c>
      <c r="E72" s="45">
        <v>43902</v>
      </c>
      <c r="F72" s="43" t="s">
        <v>88</v>
      </c>
      <c r="G72" s="45">
        <v>44266</v>
      </c>
      <c r="H72" s="46">
        <v>0</v>
      </c>
      <c r="I72" s="46">
        <v>0</v>
      </c>
      <c r="J72" s="46">
        <v>11321.6</v>
      </c>
      <c r="K72" s="46">
        <v>5832.4</v>
      </c>
      <c r="L72" s="46">
        <v>9946.6</v>
      </c>
      <c r="M72" s="46">
        <v>1696.6</v>
      </c>
      <c r="N72" s="46">
        <v>0</v>
      </c>
      <c r="O72" s="46">
        <v>0</v>
      </c>
      <c r="P72" s="46">
        <v>0</v>
      </c>
      <c r="Q72" s="46">
        <v>0</v>
      </c>
      <c r="R72" s="46"/>
      <c r="S72" s="46"/>
      <c r="T72" s="47">
        <f t="shared" si="3"/>
        <v>28797.199999999997</v>
      </c>
      <c r="U72" s="17" t="s">
        <v>307</v>
      </c>
      <c r="V72" s="13" t="s">
        <v>121</v>
      </c>
      <c r="X72" s="2" t="s">
        <v>427</v>
      </c>
    </row>
    <row r="73" spans="1:24" s="52" customFormat="1" ht="30" customHeight="1">
      <c r="A73" s="42" t="s">
        <v>336</v>
      </c>
      <c r="B73" s="42" t="s">
        <v>145</v>
      </c>
      <c r="C73" s="43" t="s">
        <v>282</v>
      </c>
      <c r="D73" s="44" t="s">
        <v>283</v>
      </c>
      <c r="E73" s="45">
        <v>43684</v>
      </c>
      <c r="F73" s="43" t="s">
        <v>284</v>
      </c>
      <c r="G73" s="45">
        <v>44049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7">
        <f t="shared" si="3"/>
        <v>0</v>
      </c>
      <c r="U73" s="48" t="s">
        <v>307</v>
      </c>
      <c r="V73" s="44" t="s">
        <v>121</v>
      </c>
      <c r="X73" s="2" t="s">
        <v>427</v>
      </c>
    </row>
    <row r="74" spans="1:22" ht="30" customHeight="1">
      <c r="A74" s="11" t="s">
        <v>143</v>
      </c>
      <c r="B74" s="11" t="s">
        <v>145</v>
      </c>
      <c r="C74" s="12" t="s">
        <v>251</v>
      </c>
      <c r="D74" s="13" t="s">
        <v>99</v>
      </c>
      <c r="E74" s="14">
        <v>43435</v>
      </c>
      <c r="F74" s="12" t="s">
        <v>112</v>
      </c>
      <c r="G74" s="14">
        <v>44165</v>
      </c>
      <c r="H74" s="15">
        <v>3848.8</v>
      </c>
      <c r="I74" s="15">
        <v>2169.93</v>
      </c>
      <c r="J74" s="15">
        <v>5861</v>
      </c>
      <c r="K74" s="15">
        <v>2736.6</v>
      </c>
      <c r="L74" s="40">
        <v>2636.6</v>
      </c>
      <c r="M74" s="15">
        <v>2636.6</v>
      </c>
      <c r="N74" s="15">
        <v>3136.6</v>
      </c>
      <c r="O74" s="15">
        <v>6061</v>
      </c>
      <c r="P74" s="15">
        <v>1112.2</v>
      </c>
      <c r="Q74" s="15">
        <v>0</v>
      </c>
      <c r="R74" s="15">
        <v>0</v>
      </c>
      <c r="S74" s="40">
        <v>0</v>
      </c>
      <c r="T74" s="59">
        <f t="shared" si="3"/>
        <v>30199.329999999998</v>
      </c>
      <c r="U74" s="17" t="s">
        <v>307</v>
      </c>
      <c r="V74" s="13" t="s">
        <v>121</v>
      </c>
    </row>
    <row r="75" spans="1:22" ht="30" customHeight="1">
      <c r="A75" s="11" t="s">
        <v>143</v>
      </c>
      <c r="B75" s="11" t="s">
        <v>145</v>
      </c>
      <c r="C75" s="12" t="s">
        <v>252</v>
      </c>
      <c r="D75" s="23" t="s">
        <v>149</v>
      </c>
      <c r="E75" s="14">
        <v>43435</v>
      </c>
      <c r="F75" s="12" t="s">
        <v>150</v>
      </c>
      <c r="G75" s="14">
        <v>44165</v>
      </c>
      <c r="H75" s="15">
        <v>0</v>
      </c>
      <c r="I75" s="15">
        <v>925</v>
      </c>
      <c r="J75" s="15">
        <v>2905</v>
      </c>
      <c r="K75" s="15">
        <v>2420</v>
      </c>
      <c r="L75" s="40">
        <v>2540</v>
      </c>
      <c r="M75" s="15">
        <v>2685</v>
      </c>
      <c r="N75" s="15">
        <v>2860</v>
      </c>
      <c r="O75" s="15">
        <v>2890</v>
      </c>
      <c r="P75" s="15">
        <v>2760</v>
      </c>
      <c r="Q75" s="15">
        <v>2775</v>
      </c>
      <c r="R75" s="15">
        <v>2495</v>
      </c>
      <c r="S75" s="40">
        <v>1775</v>
      </c>
      <c r="T75" s="59">
        <f t="shared" si="3"/>
        <v>27030</v>
      </c>
      <c r="U75" s="17" t="s">
        <v>307</v>
      </c>
      <c r="V75" s="23" t="s">
        <v>121</v>
      </c>
    </row>
    <row r="76" spans="1:22" ht="30" customHeight="1">
      <c r="A76" s="11" t="s">
        <v>143</v>
      </c>
      <c r="B76" s="11" t="s">
        <v>145</v>
      </c>
      <c r="C76" s="12" t="s">
        <v>253</v>
      </c>
      <c r="D76" s="13" t="s">
        <v>53</v>
      </c>
      <c r="E76" s="14">
        <v>43435</v>
      </c>
      <c r="F76" s="12" t="s">
        <v>69</v>
      </c>
      <c r="G76" s="14">
        <v>44165</v>
      </c>
      <c r="H76" s="15">
        <v>7930</v>
      </c>
      <c r="I76" s="15">
        <v>8690</v>
      </c>
      <c r="J76" s="15">
        <v>6270</v>
      </c>
      <c r="K76" s="15">
        <v>1050</v>
      </c>
      <c r="L76" s="40">
        <v>6540</v>
      </c>
      <c r="M76" s="15">
        <v>4450</v>
      </c>
      <c r="N76" s="15">
        <v>7210</v>
      </c>
      <c r="O76" s="15">
        <v>6980</v>
      </c>
      <c r="P76" s="15">
        <v>8760</v>
      </c>
      <c r="Q76" s="15">
        <v>10540</v>
      </c>
      <c r="R76" s="15">
        <v>8650</v>
      </c>
      <c r="S76" s="40">
        <v>3620</v>
      </c>
      <c r="T76" s="59">
        <f t="shared" si="3"/>
        <v>80690</v>
      </c>
      <c r="U76" s="17" t="s">
        <v>307</v>
      </c>
      <c r="V76" s="13" t="s">
        <v>121</v>
      </c>
    </row>
    <row r="77" spans="1:22" ht="30" customHeight="1">
      <c r="A77" s="11" t="s">
        <v>143</v>
      </c>
      <c r="B77" s="11" t="s">
        <v>145</v>
      </c>
      <c r="C77" s="12" t="s">
        <v>254</v>
      </c>
      <c r="D77" s="13" t="s">
        <v>54</v>
      </c>
      <c r="E77" s="14">
        <v>43435</v>
      </c>
      <c r="F77" s="12" t="s">
        <v>69</v>
      </c>
      <c r="G77" s="14">
        <v>44165</v>
      </c>
      <c r="H77" s="15">
        <v>3080</v>
      </c>
      <c r="I77" s="15">
        <v>3150</v>
      </c>
      <c r="J77" s="15">
        <v>3010</v>
      </c>
      <c r="K77" s="15">
        <v>2310</v>
      </c>
      <c r="L77" s="40">
        <v>2870</v>
      </c>
      <c r="M77" s="15">
        <v>3150</v>
      </c>
      <c r="N77" s="15">
        <v>5740</v>
      </c>
      <c r="O77" s="15">
        <v>3150</v>
      </c>
      <c r="P77" s="15">
        <v>6860</v>
      </c>
      <c r="Q77" s="15">
        <v>5530</v>
      </c>
      <c r="R77" s="15">
        <v>6020</v>
      </c>
      <c r="S77" s="40">
        <v>6090</v>
      </c>
      <c r="T77" s="59">
        <f t="shared" si="3"/>
        <v>50960</v>
      </c>
      <c r="U77" s="17" t="s">
        <v>307</v>
      </c>
      <c r="V77" s="13" t="s">
        <v>121</v>
      </c>
    </row>
    <row r="78" spans="1:22" ht="30" customHeight="1">
      <c r="A78" s="11" t="s">
        <v>143</v>
      </c>
      <c r="B78" s="11" t="s">
        <v>145</v>
      </c>
      <c r="C78" s="12" t="s">
        <v>255</v>
      </c>
      <c r="D78" s="13" t="s">
        <v>55</v>
      </c>
      <c r="E78" s="14">
        <v>43435</v>
      </c>
      <c r="F78" s="12" t="s">
        <v>81</v>
      </c>
      <c r="G78" s="14">
        <v>44165</v>
      </c>
      <c r="H78" s="15">
        <v>16232.24</v>
      </c>
      <c r="I78" s="15">
        <v>23374.03</v>
      </c>
      <c r="J78" s="15">
        <v>19258.5</v>
      </c>
      <c r="K78" s="15">
        <v>15064.09</v>
      </c>
      <c r="L78" s="40">
        <v>14728.93</v>
      </c>
      <c r="M78" s="15">
        <v>21819.77</v>
      </c>
      <c r="N78" s="15">
        <v>18295.68</v>
      </c>
      <c r="O78" s="15">
        <v>20222.85</v>
      </c>
      <c r="P78" s="15">
        <v>17798.12</v>
      </c>
      <c r="Q78" s="15">
        <v>19273.33</v>
      </c>
      <c r="R78" s="15">
        <v>18509.2</v>
      </c>
      <c r="S78" s="40">
        <v>19524.6</v>
      </c>
      <c r="T78" s="59">
        <f t="shared" si="3"/>
        <v>224101.34000000005</v>
      </c>
      <c r="U78" s="17" t="s">
        <v>307</v>
      </c>
      <c r="V78" s="13" t="s">
        <v>121</v>
      </c>
    </row>
    <row r="79" spans="1:22" ht="30" customHeight="1">
      <c r="A79" s="11" t="s">
        <v>143</v>
      </c>
      <c r="B79" s="11" t="s">
        <v>145</v>
      </c>
      <c r="C79" s="12" t="s">
        <v>256</v>
      </c>
      <c r="D79" s="13" t="s">
        <v>159</v>
      </c>
      <c r="E79" s="14">
        <v>43435</v>
      </c>
      <c r="F79" s="12" t="s">
        <v>76</v>
      </c>
      <c r="G79" s="14">
        <v>44165</v>
      </c>
      <c r="H79" s="15">
        <v>5842.5</v>
      </c>
      <c r="I79" s="15">
        <v>4327.5</v>
      </c>
      <c r="J79" s="15">
        <v>4100</v>
      </c>
      <c r="K79" s="15">
        <v>3520</v>
      </c>
      <c r="L79" s="40">
        <v>4457.5</v>
      </c>
      <c r="M79" s="15">
        <v>4540</v>
      </c>
      <c r="N79" s="15">
        <v>4540</v>
      </c>
      <c r="O79" s="15">
        <v>4340</v>
      </c>
      <c r="P79" s="15">
        <v>9895</v>
      </c>
      <c r="Q79" s="15">
        <v>14562.5</v>
      </c>
      <c r="R79" s="15">
        <v>12182.5</v>
      </c>
      <c r="S79" s="40">
        <v>10657.5</v>
      </c>
      <c r="T79" s="59">
        <f t="shared" si="3"/>
        <v>82965</v>
      </c>
      <c r="U79" s="17" t="s">
        <v>307</v>
      </c>
      <c r="V79" s="13" t="s">
        <v>121</v>
      </c>
    </row>
    <row r="80" spans="1:22" ht="30" customHeight="1">
      <c r="A80" s="11" t="s">
        <v>143</v>
      </c>
      <c r="B80" s="11" t="s">
        <v>145</v>
      </c>
      <c r="C80" s="12" t="s">
        <v>257</v>
      </c>
      <c r="D80" s="13" t="s">
        <v>128</v>
      </c>
      <c r="E80" s="14">
        <v>43435</v>
      </c>
      <c r="F80" s="12" t="s">
        <v>138</v>
      </c>
      <c r="G80" s="14">
        <v>44165</v>
      </c>
      <c r="H80" s="15">
        <v>5203</v>
      </c>
      <c r="I80" s="15">
        <v>5128</v>
      </c>
      <c r="J80" s="15">
        <v>0</v>
      </c>
      <c r="K80" s="15">
        <v>0</v>
      </c>
      <c r="L80" s="40">
        <v>0</v>
      </c>
      <c r="M80" s="15">
        <v>0</v>
      </c>
      <c r="N80" s="15">
        <v>0</v>
      </c>
      <c r="O80" s="15">
        <v>4383</v>
      </c>
      <c r="P80" s="15">
        <v>2866.99</v>
      </c>
      <c r="Q80" s="15">
        <v>6895</v>
      </c>
      <c r="R80" s="15">
        <v>5384.99</v>
      </c>
      <c r="S80" s="40">
        <v>11619</v>
      </c>
      <c r="T80" s="59">
        <f t="shared" si="3"/>
        <v>41479.979999999996</v>
      </c>
      <c r="U80" s="17" t="s">
        <v>307</v>
      </c>
      <c r="V80" s="13" t="s">
        <v>121</v>
      </c>
    </row>
    <row r="81" spans="1:22" ht="30" customHeight="1">
      <c r="A81" s="11" t="s">
        <v>143</v>
      </c>
      <c r="B81" s="11" t="s">
        <v>145</v>
      </c>
      <c r="C81" s="12" t="s">
        <v>258</v>
      </c>
      <c r="D81" s="13" t="s">
        <v>56</v>
      </c>
      <c r="E81" s="14">
        <v>43435</v>
      </c>
      <c r="F81" s="12" t="s">
        <v>83</v>
      </c>
      <c r="G81" s="14">
        <v>44165</v>
      </c>
      <c r="H81" s="15">
        <v>6870</v>
      </c>
      <c r="I81" s="15">
        <v>6587.5</v>
      </c>
      <c r="J81" s="15">
        <v>6170</v>
      </c>
      <c r="K81" s="15">
        <v>6410</v>
      </c>
      <c r="L81" s="40">
        <v>6170</v>
      </c>
      <c r="M81" s="15">
        <v>7170</v>
      </c>
      <c r="N81" s="15">
        <v>6770</v>
      </c>
      <c r="O81" s="15">
        <v>7420</v>
      </c>
      <c r="P81" s="15">
        <v>7070</v>
      </c>
      <c r="Q81" s="15">
        <v>6920</v>
      </c>
      <c r="R81" s="15">
        <v>8062.5</v>
      </c>
      <c r="S81" s="40">
        <v>6440</v>
      </c>
      <c r="T81" s="59">
        <f t="shared" si="3"/>
        <v>82060</v>
      </c>
      <c r="U81" s="17" t="s">
        <v>307</v>
      </c>
      <c r="V81" s="13" t="s">
        <v>121</v>
      </c>
    </row>
    <row r="82" spans="1:22" ht="30" customHeight="1">
      <c r="A82" s="11" t="s">
        <v>143</v>
      </c>
      <c r="B82" s="11" t="s">
        <v>145</v>
      </c>
      <c r="C82" s="12" t="s">
        <v>259</v>
      </c>
      <c r="D82" s="23" t="s">
        <v>58</v>
      </c>
      <c r="E82" s="14">
        <v>43435</v>
      </c>
      <c r="F82" s="12" t="s">
        <v>152</v>
      </c>
      <c r="G82" s="14">
        <v>44165</v>
      </c>
      <c r="H82" s="15">
        <v>4887</v>
      </c>
      <c r="I82" s="15">
        <v>4754.75</v>
      </c>
      <c r="J82" s="15">
        <v>4826.25</v>
      </c>
      <c r="K82" s="15">
        <v>4887</v>
      </c>
      <c r="L82" s="40">
        <v>4147</v>
      </c>
      <c r="M82" s="15">
        <v>4815.5</v>
      </c>
      <c r="N82" s="15">
        <v>5505.5</v>
      </c>
      <c r="O82" s="15">
        <v>5434</v>
      </c>
      <c r="P82" s="15">
        <v>7271.5</v>
      </c>
      <c r="Q82" s="15">
        <v>5005</v>
      </c>
      <c r="R82" s="15">
        <v>5362.5</v>
      </c>
      <c r="S82" s="40">
        <v>4862</v>
      </c>
      <c r="T82" s="59">
        <f t="shared" si="3"/>
        <v>61758</v>
      </c>
      <c r="U82" s="17" t="s">
        <v>307</v>
      </c>
      <c r="V82" s="23" t="s">
        <v>121</v>
      </c>
    </row>
    <row r="83" spans="1:22" s="52" customFormat="1" ht="30" customHeight="1">
      <c r="A83" s="11" t="s">
        <v>143</v>
      </c>
      <c r="B83" s="11" t="s">
        <v>145</v>
      </c>
      <c r="C83" s="12" t="s">
        <v>420</v>
      </c>
      <c r="D83" s="23" t="s">
        <v>423</v>
      </c>
      <c r="E83" s="14">
        <v>44138</v>
      </c>
      <c r="F83" s="12" t="s">
        <v>325</v>
      </c>
      <c r="G83" s="14">
        <v>44502</v>
      </c>
      <c r="H83" s="15"/>
      <c r="I83" s="15"/>
      <c r="J83" s="15"/>
      <c r="K83" s="15"/>
      <c r="L83" s="40"/>
      <c r="M83" s="15"/>
      <c r="N83" s="15"/>
      <c r="O83" s="15"/>
      <c r="P83" s="15"/>
      <c r="Q83" s="15"/>
      <c r="R83" s="15">
        <f>754.8+424.8</f>
        <v>1179.6</v>
      </c>
      <c r="S83" s="40">
        <v>1934.4</v>
      </c>
      <c r="T83" s="59">
        <f t="shared" si="3"/>
        <v>3114</v>
      </c>
      <c r="U83" s="60" t="s">
        <v>307</v>
      </c>
      <c r="V83" s="58" t="s">
        <v>121</v>
      </c>
    </row>
    <row r="84" spans="1:22" ht="30" customHeight="1">
      <c r="A84" s="11" t="s">
        <v>143</v>
      </c>
      <c r="B84" s="11" t="s">
        <v>145</v>
      </c>
      <c r="C84" s="12" t="s">
        <v>260</v>
      </c>
      <c r="D84" s="13" t="s">
        <v>126</v>
      </c>
      <c r="E84" s="14">
        <v>43435</v>
      </c>
      <c r="F84" s="12" t="s">
        <v>112</v>
      </c>
      <c r="G84" s="14">
        <v>44165</v>
      </c>
      <c r="H84" s="15">
        <v>2444.27</v>
      </c>
      <c r="I84" s="15">
        <v>3066.4</v>
      </c>
      <c r="J84" s="15">
        <v>2377.6</v>
      </c>
      <c r="K84" s="15">
        <v>1408.8</v>
      </c>
      <c r="L84" s="40">
        <v>1225.47</v>
      </c>
      <c r="M84" s="15">
        <v>1222.13</v>
      </c>
      <c r="N84" s="15">
        <v>1225.47</v>
      </c>
      <c r="O84" s="15">
        <v>1188.8</v>
      </c>
      <c r="P84" s="15">
        <v>3829.07</v>
      </c>
      <c r="Q84" s="15">
        <v>3609.07</v>
      </c>
      <c r="R84" s="15">
        <v>2777.77</v>
      </c>
      <c r="S84" s="40">
        <v>8339.6</v>
      </c>
      <c r="T84" s="59">
        <f t="shared" si="3"/>
        <v>32714.449999999997</v>
      </c>
      <c r="U84" s="17" t="s">
        <v>307</v>
      </c>
      <c r="V84" s="13" t="s">
        <v>121</v>
      </c>
    </row>
    <row r="85" spans="1:22" ht="30" customHeight="1">
      <c r="A85" s="11" t="s">
        <v>143</v>
      </c>
      <c r="B85" s="11" t="s">
        <v>145</v>
      </c>
      <c r="C85" s="12" t="s">
        <v>261</v>
      </c>
      <c r="D85" s="13" t="s">
        <v>106</v>
      </c>
      <c r="E85" s="14">
        <v>43435</v>
      </c>
      <c r="F85" s="12" t="s">
        <v>135</v>
      </c>
      <c r="G85" s="14">
        <v>44165</v>
      </c>
      <c r="H85" s="15">
        <v>476.67</v>
      </c>
      <c r="I85" s="15">
        <v>403.33</v>
      </c>
      <c r="J85" s="15">
        <v>586.67</v>
      </c>
      <c r="K85" s="15">
        <v>0</v>
      </c>
      <c r="L85" s="40">
        <f>623.33+403.33</f>
        <v>1026.66</v>
      </c>
      <c r="M85" s="15">
        <v>586.67</v>
      </c>
      <c r="N85" s="15">
        <v>550</v>
      </c>
      <c r="O85" s="15">
        <v>440</v>
      </c>
      <c r="P85" s="15">
        <v>660</v>
      </c>
      <c r="Q85" s="15">
        <v>0</v>
      </c>
      <c r="R85" s="15">
        <f>476.67+513.33</f>
        <v>990</v>
      </c>
      <c r="S85" s="40">
        <v>1393.33</v>
      </c>
      <c r="T85" s="59">
        <f t="shared" si="3"/>
        <v>7113.33</v>
      </c>
      <c r="U85" s="17" t="s">
        <v>307</v>
      </c>
      <c r="V85" s="13" t="s">
        <v>121</v>
      </c>
    </row>
    <row r="86" spans="1:22" ht="30" customHeight="1">
      <c r="A86" s="11" t="s">
        <v>143</v>
      </c>
      <c r="B86" s="11" t="s">
        <v>145</v>
      </c>
      <c r="C86" s="12" t="s">
        <v>323</v>
      </c>
      <c r="D86" s="13" t="s">
        <v>324</v>
      </c>
      <c r="E86" s="14">
        <v>43836</v>
      </c>
      <c r="F86" s="12" t="s">
        <v>325</v>
      </c>
      <c r="G86" s="14">
        <v>44201</v>
      </c>
      <c r="H86" s="15">
        <v>10491.8</v>
      </c>
      <c r="I86" s="15">
        <v>3825.2</v>
      </c>
      <c r="J86" s="15">
        <v>4419</v>
      </c>
      <c r="K86" s="15"/>
      <c r="L86" s="40">
        <v>2361.4</v>
      </c>
      <c r="M86" s="15">
        <v>4519</v>
      </c>
      <c r="N86" s="15">
        <v>0</v>
      </c>
      <c r="O86" s="15">
        <v>2615.2</v>
      </c>
      <c r="P86" s="15">
        <v>2415.2</v>
      </c>
      <c r="Q86" s="15">
        <v>3094</v>
      </c>
      <c r="R86" s="15">
        <v>1087.6</v>
      </c>
      <c r="S86" s="40">
        <v>1961.4</v>
      </c>
      <c r="T86" s="59">
        <f t="shared" si="3"/>
        <v>36789.8</v>
      </c>
      <c r="U86" s="17" t="s">
        <v>307</v>
      </c>
      <c r="V86" s="13" t="s">
        <v>121</v>
      </c>
    </row>
    <row r="87" spans="1:22" ht="30" customHeight="1">
      <c r="A87" s="11" t="s">
        <v>143</v>
      </c>
      <c r="B87" s="11" t="s">
        <v>145</v>
      </c>
      <c r="C87" s="12" t="s">
        <v>262</v>
      </c>
      <c r="D87" s="13" t="s">
        <v>147</v>
      </c>
      <c r="E87" s="14">
        <v>43435</v>
      </c>
      <c r="F87" s="12" t="s">
        <v>148</v>
      </c>
      <c r="G87" s="14">
        <v>44165</v>
      </c>
      <c r="H87" s="15">
        <v>14831.69</v>
      </c>
      <c r="I87" s="15">
        <v>20563.69</v>
      </c>
      <c r="J87" s="15">
        <v>13552.39</v>
      </c>
      <c r="K87" s="15">
        <v>4273.6</v>
      </c>
      <c r="L87" s="40">
        <v>13099.89</v>
      </c>
      <c r="M87" s="15">
        <v>11433.99</v>
      </c>
      <c r="N87" s="15">
        <v>11697.39</v>
      </c>
      <c r="O87" s="15">
        <v>8027.19</v>
      </c>
      <c r="P87" s="15">
        <v>14652.39</v>
      </c>
      <c r="Q87" s="15">
        <v>5491.99</v>
      </c>
      <c r="R87" s="15">
        <v>0</v>
      </c>
      <c r="S87" s="40">
        <f>8273.6+7157.06</f>
        <v>15430.66</v>
      </c>
      <c r="T87" s="59">
        <f t="shared" si="3"/>
        <v>133054.87</v>
      </c>
      <c r="U87" s="17" t="s">
        <v>307</v>
      </c>
      <c r="V87" s="13" t="s">
        <v>121</v>
      </c>
    </row>
    <row r="88" spans="1:22" ht="30" customHeight="1">
      <c r="A88" s="11" t="s">
        <v>143</v>
      </c>
      <c r="B88" s="11" t="s">
        <v>145</v>
      </c>
      <c r="C88" s="12" t="s">
        <v>293</v>
      </c>
      <c r="D88" s="13" t="s">
        <v>299</v>
      </c>
      <c r="E88" s="14">
        <v>43802</v>
      </c>
      <c r="F88" s="12" t="s">
        <v>152</v>
      </c>
      <c r="G88" s="14">
        <v>44167</v>
      </c>
      <c r="H88" s="15">
        <v>54321.56</v>
      </c>
      <c r="I88" s="15">
        <v>56979.64</v>
      </c>
      <c r="J88" s="15">
        <v>27737.71</v>
      </c>
      <c r="K88" s="15">
        <v>30032.5</v>
      </c>
      <c r="L88" s="40">
        <v>76739.62</v>
      </c>
      <c r="M88" s="15">
        <v>109073.79</v>
      </c>
      <c r="N88" s="15">
        <v>80839.65</v>
      </c>
      <c r="O88" s="15">
        <v>78196.64</v>
      </c>
      <c r="P88" s="15">
        <v>85909.55</v>
      </c>
      <c r="Q88" s="15">
        <v>85721.76</v>
      </c>
      <c r="R88" s="15">
        <v>82316.17</v>
      </c>
      <c r="S88" s="40">
        <v>61107.46</v>
      </c>
      <c r="T88" s="59">
        <f t="shared" si="3"/>
        <v>828976.05</v>
      </c>
      <c r="U88" s="17" t="s">
        <v>307</v>
      </c>
      <c r="V88" s="13" t="s">
        <v>121</v>
      </c>
    </row>
    <row r="89" spans="1:22" ht="30" customHeight="1">
      <c r="A89" s="11" t="s">
        <v>143</v>
      </c>
      <c r="B89" s="11" t="s">
        <v>145</v>
      </c>
      <c r="C89" s="12" t="s">
        <v>211</v>
      </c>
      <c r="D89" s="13" t="s">
        <v>219</v>
      </c>
      <c r="E89" s="14">
        <v>43497</v>
      </c>
      <c r="F89" s="12" t="s">
        <v>220</v>
      </c>
      <c r="G89" s="14">
        <v>43861</v>
      </c>
      <c r="H89" s="15">
        <v>825</v>
      </c>
      <c r="I89" s="15">
        <v>1320</v>
      </c>
      <c r="J89" s="15">
        <v>900</v>
      </c>
      <c r="K89" s="15">
        <v>660</v>
      </c>
      <c r="L89" s="40">
        <v>1200</v>
      </c>
      <c r="M89" s="15">
        <v>900</v>
      </c>
      <c r="N89" s="15">
        <v>0</v>
      </c>
      <c r="O89" s="15">
        <v>660</v>
      </c>
      <c r="P89" s="15">
        <v>990</v>
      </c>
      <c r="Q89" s="15">
        <v>825</v>
      </c>
      <c r="R89" s="15">
        <v>1100</v>
      </c>
      <c r="S89" s="40">
        <v>1045</v>
      </c>
      <c r="T89" s="59">
        <f t="shared" si="3"/>
        <v>10425</v>
      </c>
      <c r="U89" s="17" t="s">
        <v>307</v>
      </c>
      <c r="V89" s="13" t="s">
        <v>121</v>
      </c>
    </row>
    <row r="90" spans="1:22" ht="30" customHeight="1">
      <c r="A90" s="11" t="s">
        <v>143</v>
      </c>
      <c r="B90" s="11" t="s">
        <v>145</v>
      </c>
      <c r="C90" s="12" t="s">
        <v>326</v>
      </c>
      <c r="D90" s="13" t="s">
        <v>327</v>
      </c>
      <c r="E90" s="14">
        <v>43864</v>
      </c>
      <c r="F90" s="12" t="s">
        <v>328</v>
      </c>
      <c r="G90" s="14">
        <v>44229</v>
      </c>
      <c r="H90" s="15">
        <v>0</v>
      </c>
      <c r="I90" s="15">
        <v>1322.7</v>
      </c>
      <c r="J90" s="15">
        <v>2497.9</v>
      </c>
      <c r="K90" s="15">
        <v>1305.3</v>
      </c>
      <c r="L90" s="40">
        <v>3025.5</v>
      </c>
      <c r="M90" s="15">
        <v>3743.1</v>
      </c>
      <c r="N90" s="15">
        <v>4310.7</v>
      </c>
      <c r="O90" s="15">
        <v>2457.9</v>
      </c>
      <c r="P90" s="15">
        <v>1865.3</v>
      </c>
      <c r="Q90" s="15">
        <v>3668.1</v>
      </c>
      <c r="R90" s="15">
        <v>3720.6</v>
      </c>
      <c r="S90" s="40">
        <v>3088</v>
      </c>
      <c r="T90" s="59">
        <f t="shared" si="3"/>
        <v>31005.1</v>
      </c>
      <c r="U90" s="17" t="s">
        <v>307</v>
      </c>
      <c r="V90" s="13" t="s">
        <v>121</v>
      </c>
    </row>
    <row r="91" spans="1:22" ht="30" customHeight="1">
      <c r="A91" s="11" t="s">
        <v>143</v>
      </c>
      <c r="B91" s="11" t="s">
        <v>145</v>
      </c>
      <c r="C91" s="12" t="s">
        <v>218</v>
      </c>
      <c r="D91" s="13" t="s">
        <v>161</v>
      </c>
      <c r="E91" s="14">
        <v>43435</v>
      </c>
      <c r="F91" s="12" t="s">
        <v>162</v>
      </c>
      <c r="G91" s="14">
        <v>44165</v>
      </c>
      <c r="H91" s="15">
        <v>5175</v>
      </c>
      <c r="I91" s="15">
        <v>5090</v>
      </c>
      <c r="J91" s="15">
        <v>5045</v>
      </c>
      <c r="K91" s="15">
        <v>12725</v>
      </c>
      <c r="L91" s="40">
        <v>6630</v>
      </c>
      <c r="M91" s="15">
        <v>11375</v>
      </c>
      <c r="N91" s="15">
        <v>14340</v>
      </c>
      <c r="O91" s="15">
        <v>8155</v>
      </c>
      <c r="P91" s="15">
        <v>9715</v>
      </c>
      <c r="Q91" s="15">
        <v>7725</v>
      </c>
      <c r="R91" s="15">
        <v>10565</v>
      </c>
      <c r="S91" s="40">
        <v>3820</v>
      </c>
      <c r="T91" s="59">
        <f t="shared" si="3"/>
        <v>100360</v>
      </c>
      <c r="U91" s="17" t="s">
        <v>307</v>
      </c>
      <c r="V91" s="13" t="s">
        <v>121</v>
      </c>
    </row>
    <row r="92" spans="1:22" ht="30" customHeight="1">
      <c r="A92" s="11" t="s">
        <v>143</v>
      </c>
      <c r="B92" s="11" t="s">
        <v>145</v>
      </c>
      <c r="C92" s="12" t="s">
        <v>242</v>
      </c>
      <c r="D92" s="13" t="s">
        <v>163</v>
      </c>
      <c r="E92" s="14">
        <v>43435</v>
      </c>
      <c r="F92" s="12" t="s">
        <v>162</v>
      </c>
      <c r="G92" s="14">
        <v>44165</v>
      </c>
      <c r="H92" s="15">
        <v>10505.92</v>
      </c>
      <c r="I92" s="15">
        <v>11950.92</v>
      </c>
      <c r="J92" s="15">
        <v>16763.2</v>
      </c>
      <c r="K92" s="15">
        <v>11200.24</v>
      </c>
      <c r="L92" s="40">
        <v>11505.24</v>
      </c>
      <c r="M92" s="15">
        <v>18752.52</v>
      </c>
      <c r="N92" s="15">
        <v>13554.56</v>
      </c>
      <c r="O92" s="15">
        <v>16168.88</v>
      </c>
      <c r="P92" s="15">
        <v>8356.6</v>
      </c>
      <c r="Q92" s="15">
        <v>11735.24</v>
      </c>
      <c r="R92" s="15">
        <v>14014.56</v>
      </c>
      <c r="S92" s="40">
        <v>7896.6</v>
      </c>
      <c r="T92" s="59">
        <f t="shared" si="3"/>
        <v>152404.48</v>
      </c>
      <c r="U92" s="17" t="s">
        <v>307</v>
      </c>
      <c r="V92" s="13" t="s">
        <v>121</v>
      </c>
    </row>
    <row r="93" spans="1:24" ht="30" customHeight="1">
      <c r="A93" s="42" t="s">
        <v>143</v>
      </c>
      <c r="B93" s="42" t="s">
        <v>145</v>
      </c>
      <c r="C93" s="43" t="s">
        <v>370</v>
      </c>
      <c r="D93" s="44" t="s">
        <v>385</v>
      </c>
      <c r="E93" s="45">
        <v>44053</v>
      </c>
      <c r="F93" s="43" t="s">
        <v>276</v>
      </c>
      <c r="G93" s="45">
        <v>44417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>3196+3281.75</f>
        <v>6477.75</v>
      </c>
      <c r="P93" s="46">
        <f>2556.8+2556.8</f>
        <v>5113.6</v>
      </c>
      <c r="Q93" s="46">
        <f>5220.85+5149.35</f>
        <v>10370.2</v>
      </c>
      <c r="R93" s="46">
        <v>0</v>
      </c>
      <c r="S93" s="46">
        <v>0</v>
      </c>
      <c r="T93" s="47">
        <f t="shared" si="3"/>
        <v>21961.550000000003</v>
      </c>
      <c r="U93" s="17" t="s">
        <v>307</v>
      </c>
      <c r="V93" s="13" t="s">
        <v>121</v>
      </c>
      <c r="X93" s="2" t="s">
        <v>427</v>
      </c>
    </row>
    <row r="94" spans="1:22" s="52" customFormat="1" ht="30" customHeight="1">
      <c r="A94" s="11" t="s">
        <v>143</v>
      </c>
      <c r="B94" s="11" t="s">
        <v>145</v>
      </c>
      <c r="C94" s="12" t="s">
        <v>421</v>
      </c>
      <c r="D94" s="13" t="s">
        <v>424</v>
      </c>
      <c r="E94" s="14">
        <v>44138</v>
      </c>
      <c r="F94" s="12" t="s">
        <v>409</v>
      </c>
      <c r="G94" s="14">
        <v>44502</v>
      </c>
      <c r="H94" s="15"/>
      <c r="I94" s="15"/>
      <c r="J94" s="15"/>
      <c r="K94" s="15"/>
      <c r="L94" s="40"/>
      <c r="M94" s="15"/>
      <c r="N94" s="15"/>
      <c r="O94" s="15"/>
      <c r="P94" s="15"/>
      <c r="Q94" s="15"/>
      <c r="R94" s="15">
        <v>1650</v>
      </c>
      <c r="S94" s="40">
        <v>1197.2</v>
      </c>
      <c r="T94" s="59">
        <f t="shared" si="3"/>
        <v>2847.2</v>
      </c>
      <c r="U94" s="60" t="s">
        <v>307</v>
      </c>
      <c r="V94" s="61" t="s">
        <v>121</v>
      </c>
    </row>
    <row r="95" spans="1:22" ht="30" customHeight="1">
      <c r="A95" s="11" t="s">
        <v>143</v>
      </c>
      <c r="B95" s="11" t="s">
        <v>145</v>
      </c>
      <c r="C95" s="12" t="s">
        <v>329</v>
      </c>
      <c r="D95" s="13" t="s">
        <v>330</v>
      </c>
      <c r="E95" s="14">
        <v>43832</v>
      </c>
      <c r="F95" s="12" t="s">
        <v>185</v>
      </c>
      <c r="G95" s="14">
        <v>44197</v>
      </c>
      <c r="H95" s="15">
        <v>12403.2</v>
      </c>
      <c r="I95" s="15">
        <v>2227.73</v>
      </c>
      <c r="J95" s="15">
        <v>8048.8</v>
      </c>
      <c r="K95" s="15">
        <v>7813.6</v>
      </c>
      <c r="L95" s="40">
        <v>7388.8</v>
      </c>
      <c r="M95" s="15">
        <v>7388.8</v>
      </c>
      <c r="N95" s="15">
        <v>8363.6</v>
      </c>
      <c r="O95" s="15">
        <v>6568.8</v>
      </c>
      <c r="P95" s="15">
        <v>7168.8</v>
      </c>
      <c r="Q95" s="15">
        <v>3584.4</v>
      </c>
      <c r="R95" s="15">
        <v>7168.8</v>
      </c>
      <c r="S95" s="40">
        <v>3584.4</v>
      </c>
      <c r="T95" s="59">
        <f t="shared" si="3"/>
        <v>81709.73</v>
      </c>
      <c r="U95" s="17" t="s">
        <v>307</v>
      </c>
      <c r="V95" s="13" t="s">
        <v>121</v>
      </c>
    </row>
    <row r="96" spans="1:22" ht="30" customHeight="1">
      <c r="A96" s="11" t="s">
        <v>143</v>
      </c>
      <c r="B96" s="11" t="s">
        <v>145</v>
      </c>
      <c r="C96" s="12" t="s">
        <v>241</v>
      </c>
      <c r="D96" s="13" t="s">
        <v>59</v>
      </c>
      <c r="E96" s="14">
        <v>43435</v>
      </c>
      <c r="F96" s="12" t="s">
        <v>84</v>
      </c>
      <c r="G96" s="14">
        <v>44165</v>
      </c>
      <c r="H96" s="15">
        <v>12050</v>
      </c>
      <c r="I96" s="15">
        <v>15700</v>
      </c>
      <c r="J96" s="15">
        <v>8320</v>
      </c>
      <c r="K96" s="15">
        <v>1540</v>
      </c>
      <c r="L96" s="40">
        <v>14340</v>
      </c>
      <c r="M96" s="15">
        <v>17360</v>
      </c>
      <c r="N96" s="15">
        <v>13290</v>
      </c>
      <c r="O96" s="15">
        <v>14430</v>
      </c>
      <c r="P96" s="15">
        <v>16609.8</v>
      </c>
      <c r="Q96" s="15">
        <v>12970</v>
      </c>
      <c r="R96" s="15">
        <v>11900</v>
      </c>
      <c r="S96" s="40">
        <v>9060</v>
      </c>
      <c r="T96" s="59">
        <f t="shared" si="3"/>
        <v>147569.8</v>
      </c>
      <c r="U96" s="17" t="s">
        <v>307</v>
      </c>
      <c r="V96" s="13" t="s">
        <v>121</v>
      </c>
    </row>
    <row r="97" spans="1:22" ht="30" customHeight="1">
      <c r="A97" s="11" t="s">
        <v>143</v>
      </c>
      <c r="B97" s="11" t="s">
        <v>145</v>
      </c>
      <c r="C97" s="12" t="s">
        <v>269</v>
      </c>
      <c r="D97" s="13" t="s">
        <v>270</v>
      </c>
      <c r="E97" s="14">
        <v>43556</v>
      </c>
      <c r="F97" s="12" t="s">
        <v>87</v>
      </c>
      <c r="G97" s="14">
        <v>43921</v>
      </c>
      <c r="H97" s="15">
        <v>1320</v>
      </c>
      <c r="I97" s="15">
        <v>1570</v>
      </c>
      <c r="J97" s="15">
        <v>1910</v>
      </c>
      <c r="K97" s="15">
        <v>990</v>
      </c>
      <c r="L97" s="40">
        <v>2310</v>
      </c>
      <c r="M97" s="15">
        <v>5570</v>
      </c>
      <c r="N97" s="15">
        <v>4147.5</v>
      </c>
      <c r="O97" s="15">
        <v>4590</v>
      </c>
      <c r="P97" s="15">
        <v>4410</v>
      </c>
      <c r="Q97" s="15">
        <v>3340</v>
      </c>
      <c r="R97" s="15">
        <v>4207.5</v>
      </c>
      <c r="S97" s="40">
        <v>1760</v>
      </c>
      <c r="T97" s="59">
        <f t="shared" si="3"/>
        <v>36125</v>
      </c>
      <c r="U97" s="17" t="s">
        <v>307</v>
      </c>
      <c r="V97" s="13" t="s">
        <v>121</v>
      </c>
    </row>
    <row r="98" spans="1:22" ht="30" customHeight="1">
      <c r="A98" s="11" t="s">
        <v>143</v>
      </c>
      <c r="B98" s="11" t="s">
        <v>145</v>
      </c>
      <c r="C98" s="12" t="s">
        <v>196</v>
      </c>
      <c r="D98" s="13" t="s">
        <v>57</v>
      </c>
      <c r="E98" s="14">
        <v>43435</v>
      </c>
      <c r="F98" s="12" t="s">
        <v>73</v>
      </c>
      <c r="G98" s="14">
        <v>44165</v>
      </c>
      <c r="H98" s="15">
        <v>10340</v>
      </c>
      <c r="I98" s="15">
        <v>10037.5</v>
      </c>
      <c r="J98" s="15">
        <v>11110</v>
      </c>
      <c r="K98" s="15">
        <v>9350</v>
      </c>
      <c r="L98" s="40">
        <v>10780</v>
      </c>
      <c r="M98" s="15">
        <v>10450</v>
      </c>
      <c r="N98" s="15">
        <v>11137.5</v>
      </c>
      <c r="O98" s="15">
        <v>11055</v>
      </c>
      <c r="P98" s="15">
        <v>10367.5</v>
      </c>
      <c r="Q98" s="15">
        <v>10340</v>
      </c>
      <c r="R98" s="15">
        <v>9625</v>
      </c>
      <c r="S98" s="40">
        <v>10725</v>
      </c>
      <c r="T98" s="59">
        <f t="shared" si="3"/>
        <v>125317.5</v>
      </c>
      <c r="U98" s="17" t="s">
        <v>307</v>
      </c>
      <c r="V98" s="13" t="s">
        <v>121</v>
      </c>
    </row>
    <row r="99" spans="1:22" ht="30" customHeight="1">
      <c r="A99" s="11" t="s">
        <v>143</v>
      </c>
      <c r="B99" s="11" t="s">
        <v>145</v>
      </c>
      <c r="C99" s="12" t="s">
        <v>195</v>
      </c>
      <c r="D99" s="13" t="s">
        <v>65</v>
      </c>
      <c r="E99" s="14">
        <v>43435</v>
      </c>
      <c r="F99" s="12" t="s">
        <v>74</v>
      </c>
      <c r="G99" s="14">
        <v>44165</v>
      </c>
      <c r="H99" s="15">
        <v>4775</v>
      </c>
      <c r="I99" s="15">
        <v>0</v>
      </c>
      <c r="J99" s="15">
        <v>0</v>
      </c>
      <c r="K99" s="15">
        <v>0</v>
      </c>
      <c r="L99" s="40">
        <v>0</v>
      </c>
      <c r="M99" s="15">
        <v>2600</v>
      </c>
      <c r="N99" s="15">
        <v>6300</v>
      </c>
      <c r="O99" s="15">
        <v>7175</v>
      </c>
      <c r="P99" s="15">
        <v>8175</v>
      </c>
      <c r="Q99" s="15">
        <v>8175</v>
      </c>
      <c r="R99" s="15">
        <v>9022.5</v>
      </c>
      <c r="S99" s="40">
        <v>6263</v>
      </c>
      <c r="T99" s="59">
        <f t="shared" si="3"/>
        <v>52485.5</v>
      </c>
      <c r="U99" s="17" t="s">
        <v>307</v>
      </c>
      <c r="V99" s="13" t="s">
        <v>121</v>
      </c>
    </row>
    <row r="100" spans="1:24" ht="30" customHeight="1">
      <c r="A100" s="42" t="s">
        <v>143</v>
      </c>
      <c r="B100" s="42" t="s">
        <v>145</v>
      </c>
      <c r="C100" s="43" t="s">
        <v>337</v>
      </c>
      <c r="D100" s="44" t="s">
        <v>347</v>
      </c>
      <c r="E100" s="45">
        <v>43892</v>
      </c>
      <c r="F100" s="43" t="s">
        <v>351</v>
      </c>
      <c r="G100" s="45">
        <v>44256</v>
      </c>
      <c r="H100" s="46">
        <v>0</v>
      </c>
      <c r="I100" s="46">
        <v>0</v>
      </c>
      <c r="J100" s="46">
        <v>5546.4</v>
      </c>
      <c r="K100" s="46">
        <v>8077</v>
      </c>
      <c r="L100" s="46">
        <v>7747.6</v>
      </c>
      <c r="M100" s="46">
        <v>8891.6</v>
      </c>
      <c r="N100" s="46">
        <v>4588.8</v>
      </c>
      <c r="O100" s="46">
        <v>7505</v>
      </c>
      <c r="P100" s="46">
        <v>6289.5</v>
      </c>
      <c r="Q100" s="46">
        <v>0</v>
      </c>
      <c r="R100" s="46">
        <v>0</v>
      </c>
      <c r="S100" s="46">
        <v>0</v>
      </c>
      <c r="T100" s="47">
        <f t="shared" si="3"/>
        <v>48645.9</v>
      </c>
      <c r="U100" s="17" t="s">
        <v>307</v>
      </c>
      <c r="V100" s="13" t="s">
        <v>121</v>
      </c>
      <c r="X100" s="2" t="s">
        <v>427</v>
      </c>
    </row>
    <row r="101" spans="1:22" s="52" customFormat="1" ht="30" customHeight="1">
      <c r="A101" s="42" t="s">
        <v>336</v>
      </c>
      <c r="B101" s="42" t="s">
        <v>145</v>
      </c>
      <c r="C101" s="43" t="s">
        <v>240</v>
      </c>
      <c r="D101" s="44" t="s">
        <v>109</v>
      </c>
      <c r="E101" s="45">
        <v>43435</v>
      </c>
      <c r="F101" s="43" t="s">
        <v>111</v>
      </c>
      <c r="G101" s="45">
        <v>44165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7">
        <f t="shared" si="3"/>
        <v>0</v>
      </c>
      <c r="U101" s="48" t="s">
        <v>307</v>
      </c>
      <c r="V101" s="44" t="s">
        <v>121</v>
      </c>
    </row>
    <row r="102" spans="1:22" ht="30" customHeight="1">
      <c r="A102" s="11" t="s">
        <v>143</v>
      </c>
      <c r="B102" s="11" t="s">
        <v>145</v>
      </c>
      <c r="C102" s="12" t="s">
        <v>239</v>
      </c>
      <c r="D102" s="13" t="s">
        <v>60</v>
      </c>
      <c r="E102" s="14">
        <v>43435</v>
      </c>
      <c r="F102" s="12" t="s">
        <v>85</v>
      </c>
      <c r="G102" s="14">
        <v>44165</v>
      </c>
      <c r="H102" s="15">
        <v>9266.67</v>
      </c>
      <c r="I102" s="15">
        <v>6466.67</v>
      </c>
      <c r="J102" s="15">
        <v>7133.33</v>
      </c>
      <c r="K102" s="15">
        <v>8500</v>
      </c>
      <c r="L102" s="41">
        <v>9680</v>
      </c>
      <c r="M102" s="15">
        <v>14410</v>
      </c>
      <c r="N102" s="15">
        <v>9570</v>
      </c>
      <c r="O102" s="15">
        <v>11440</v>
      </c>
      <c r="P102" s="15">
        <v>11330</v>
      </c>
      <c r="Q102" s="15">
        <v>11146.67</v>
      </c>
      <c r="R102" s="15">
        <v>6343.33</v>
      </c>
      <c r="S102" s="40">
        <v>9460</v>
      </c>
      <c r="T102" s="59">
        <f t="shared" si="3"/>
        <v>114746.67</v>
      </c>
      <c r="U102" s="17" t="s">
        <v>307</v>
      </c>
      <c r="V102" s="13" t="s">
        <v>121</v>
      </c>
    </row>
    <row r="103" spans="1:22" ht="30" customHeight="1">
      <c r="A103" s="11" t="s">
        <v>143</v>
      </c>
      <c r="B103" s="11" t="s">
        <v>145</v>
      </c>
      <c r="C103" s="12" t="s">
        <v>210</v>
      </c>
      <c r="D103" s="13" t="s">
        <v>214</v>
      </c>
      <c r="E103" s="14">
        <v>43497</v>
      </c>
      <c r="F103" s="12" t="s">
        <v>215</v>
      </c>
      <c r="G103" s="14">
        <v>43861</v>
      </c>
      <c r="H103" s="15">
        <v>1627.5</v>
      </c>
      <c r="I103" s="15">
        <v>1557.5</v>
      </c>
      <c r="J103" s="15">
        <v>2135</v>
      </c>
      <c r="K103" s="15">
        <v>1707.5</v>
      </c>
      <c r="L103" s="41">
        <v>2197.5</v>
      </c>
      <c r="M103" s="15">
        <v>1632.5</v>
      </c>
      <c r="N103" s="15">
        <v>2737.5</v>
      </c>
      <c r="O103" s="15">
        <v>1682.5</v>
      </c>
      <c r="P103" s="15">
        <v>2075</v>
      </c>
      <c r="Q103" s="15">
        <v>1582.5</v>
      </c>
      <c r="R103" s="15">
        <v>1080</v>
      </c>
      <c r="S103" s="40">
        <v>1657.5</v>
      </c>
      <c r="T103" s="59">
        <f t="shared" si="3"/>
        <v>21672.5</v>
      </c>
      <c r="U103" s="17" t="s">
        <v>307</v>
      </c>
      <c r="V103" s="13" t="s">
        <v>121</v>
      </c>
    </row>
    <row r="104" spans="1:22" ht="30" customHeight="1">
      <c r="A104" s="11" t="s">
        <v>143</v>
      </c>
      <c r="B104" s="11" t="s">
        <v>145</v>
      </c>
      <c r="C104" s="12" t="s">
        <v>216</v>
      </c>
      <c r="D104" s="13" t="s">
        <v>101</v>
      </c>
      <c r="E104" s="14">
        <v>43435</v>
      </c>
      <c r="F104" s="12" t="s">
        <v>114</v>
      </c>
      <c r="G104" s="14">
        <v>44165</v>
      </c>
      <c r="H104" s="15">
        <v>6342.8</v>
      </c>
      <c r="I104" s="15">
        <v>5139</v>
      </c>
      <c r="J104" s="15">
        <v>3311.4</v>
      </c>
      <c r="K104" s="15">
        <v>5139</v>
      </c>
      <c r="L104" s="41">
        <v>9410.4</v>
      </c>
      <c r="M104" s="15">
        <v>6019</v>
      </c>
      <c r="N104" s="15">
        <v>5579</v>
      </c>
      <c r="O104" s="15">
        <v>5579</v>
      </c>
      <c r="P104" s="15">
        <v>6019</v>
      </c>
      <c r="Q104" s="15">
        <v>6019</v>
      </c>
      <c r="R104" s="15">
        <v>4815.2</v>
      </c>
      <c r="S104" s="40">
        <v>4815.2</v>
      </c>
      <c r="T104" s="59">
        <f t="shared" si="3"/>
        <v>68188</v>
      </c>
      <c r="U104" s="17" t="s">
        <v>307</v>
      </c>
      <c r="V104" s="13" t="s">
        <v>121</v>
      </c>
    </row>
    <row r="105" spans="1:22" ht="30" customHeight="1">
      <c r="A105" s="11" t="s">
        <v>143</v>
      </c>
      <c r="B105" s="11" t="s">
        <v>145</v>
      </c>
      <c r="C105" s="12" t="s">
        <v>217</v>
      </c>
      <c r="D105" s="13" t="s">
        <v>61</v>
      </c>
      <c r="E105" s="14">
        <v>43435</v>
      </c>
      <c r="F105" s="12" t="s">
        <v>86</v>
      </c>
      <c r="G105" s="14">
        <v>44165</v>
      </c>
      <c r="H105" s="15">
        <v>6260.1</v>
      </c>
      <c r="I105" s="15">
        <v>8606.8</v>
      </c>
      <c r="J105" s="15">
        <v>8244.3</v>
      </c>
      <c r="K105" s="15">
        <v>8613.5</v>
      </c>
      <c r="L105" s="41">
        <v>8216.8</v>
      </c>
      <c r="M105" s="15">
        <v>9879.4</v>
      </c>
      <c r="N105" s="15">
        <v>13035.3</v>
      </c>
      <c r="O105" s="15">
        <v>10750.3</v>
      </c>
      <c r="P105" s="15">
        <v>9736.9</v>
      </c>
      <c r="Q105" s="15">
        <v>10563.5</v>
      </c>
      <c r="R105" s="15">
        <v>7046.8</v>
      </c>
      <c r="S105" s="40">
        <v>3913.4</v>
      </c>
      <c r="T105" s="59">
        <f t="shared" si="3"/>
        <v>104867.09999999999</v>
      </c>
      <c r="U105" s="17" t="s">
        <v>307</v>
      </c>
      <c r="V105" s="13" t="s">
        <v>121</v>
      </c>
    </row>
    <row r="106" spans="1:22" ht="30" customHeight="1">
      <c r="A106" s="11" t="s">
        <v>143</v>
      </c>
      <c r="B106" s="11" t="s">
        <v>145</v>
      </c>
      <c r="C106" s="12" t="s">
        <v>237</v>
      </c>
      <c r="D106" s="13" t="s">
        <v>63</v>
      </c>
      <c r="E106" s="14">
        <v>43435</v>
      </c>
      <c r="F106" s="12" t="s">
        <v>151</v>
      </c>
      <c r="G106" s="14">
        <v>44165</v>
      </c>
      <c r="H106" s="15">
        <v>6960</v>
      </c>
      <c r="I106" s="15">
        <v>7400</v>
      </c>
      <c r="J106" s="15">
        <v>7060</v>
      </c>
      <c r="K106" s="15">
        <v>6150</v>
      </c>
      <c r="L106" s="41">
        <v>8740</v>
      </c>
      <c r="M106" s="15">
        <v>10220</v>
      </c>
      <c r="N106" s="15">
        <v>5310</v>
      </c>
      <c r="O106" s="15">
        <v>13305</v>
      </c>
      <c r="P106" s="15">
        <v>10015</v>
      </c>
      <c r="Q106" s="15">
        <v>8050</v>
      </c>
      <c r="R106" s="15">
        <v>8860</v>
      </c>
      <c r="S106" s="40">
        <v>5910</v>
      </c>
      <c r="T106" s="59">
        <f t="shared" si="3"/>
        <v>97980</v>
      </c>
      <c r="U106" s="17" t="s">
        <v>307</v>
      </c>
      <c r="V106" s="13" t="s">
        <v>121</v>
      </c>
    </row>
    <row r="107" spans="1:22" ht="30" customHeight="1">
      <c r="A107" s="11" t="s">
        <v>143</v>
      </c>
      <c r="B107" s="11" t="s">
        <v>145</v>
      </c>
      <c r="C107" s="12" t="s">
        <v>238</v>
      </c>
      <c r="D107" s="13" t="s">
        <v>62</v>
      </c>
      <c r="E107" s="14">
        <v>43435</v>
      </c>
      <c r="F107" s="12" t="s">
        <v>71</v>
      </c>
      <c r="G107" s="14">
        <v>44165</v>
      </c>
      <c r="H107" s="15">
        <v>25590</v>
      </c>
      <c r="I107" s="15">
        <v>24490</v>
      </c>
      <c r="J107" s="15">
        <v>15400</v>
      </c>
      <c r="K107" s="15">
        <v>8370</v>
      </c>
      <c r="L107" s="41">
        <v>23390</v>
      </c>
      <c r="M107" s="15">
        <v>38640</v>
      </c>
      <c r="N107" s="15">
        <v>24240</v>
      </c>
      <c r="O107" s="15">
        <v>24190</v>
      </c>
      <c r="P107" s="15">
        <v>33340</v>
      </c>
      <c r="Q107" s="15">
        <v>38290</v>
      </c>
      <c r="R107" s="15">
        <v>30890</v>
      </c>
      <c r="S107" s="40">
        <v>25100</v>
      </c>
      <c r="T107" s="59">
        <f t="shared" si="3"/>
        <v>311930</v>
      </c>
      <c r="U107" s="17" t="s">
        <v>307</v>
      </c>
      <c r="V107" s="13" t="s">
        <v>121</v>
      </c>
    </row>
    <row r="108" spans="1:24" ht="30" customHeight="1">
      <c r="A108" s="42" t="s">
        <v>143</v>
      </c>
      <c r="B108" s="42" t="s">
        <v>145</v>
      </c>
      <c r="C108" s="43" t="s">
        <v>236</v>
      </c>
      <c r="D108" s="44" t="s">
        <v>64</v>
      </c>
      <c r="E108" s="45">
        <v>43435</v>
      </c>
      <c r="F108" s="43" t="s">
        <v>87</v>
      </c>
      <c r="G108" s="45">
        <v>44165</v>
      </c>
      <c r="H108" s="46">
        <v>4060</v>
      </c>
      <c r="I108" s="46">
        <v>3940</v>
      </c>
      <c r="J108" s="46">
        <v>3690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7">
        <f t="shared" si="3"/>
        <v>11690</v>
      </c>
      <c r="U108" s="17" t="s">
        <v>307</v>
      </c>
      <c r="V108" s="13" t="s">
        <v>121</v>
      </c>
      <c r="X108" s="2" t="s">
        <v>427</v>
      </c>
    </row>
    <row r="109" spans="1:22" ht="30" customHeight="1">
      <c r="A109" s="11" t="s">
        <v>143</v>
      </c>
      <c r="B109" s="11" t="s">
        <v>145</v>
      </c>
      <c r="C109" s="12" t="s">
        <v>277</v>
      </c>
      <c r="D109" s="13" t="s">
        <v>278</v>
      </c>
      <c r="E109" s="14">
        <v>43684</v>
      </c>
      <c r="F109" s="12" t="s">
        <v>268</v>
      </c>
      <c r="G109" s="14">
        <v>44049</v>
      </c>
      <c r="H109" s="15">
        <v>2640</v>
      </c>
      <c r="I109" s="15">
        <v>4400</v>
      </c>
      <c r="J109" s="15">
        <v>3400</v>
      </c>
      <c r="K109" s="15">
        <v>0</v>
      </c>
      <c r="L109" s="41">
        <v>1540</v>
      </c>
      <c r="M109" s="15">
        <v>5060</v>
      </c>
      <c r="N109" s="15">
        <v>7260</v>
      </c>
      <c r="O109" s="15">
        <v>6160</v>
      </c>
      <c r="P109" s="15">
        <v>4400</v>
      </c>
      <c r="Q109" s="15">
        <v>6160</v>
      </c>
      <c r="R109" s="15">
        <v>6600</v>
      </c>
      <c r="S109" s="40">
        <v>7480</v>
      </c>
      <c r="T109" s="59">
        <f aca="true" t="shared" si="4" ref="T109:T118">SUM(H109:S109)</f>
        <v>55100</v>
      </c>
      <c r="U109" s="17" t="s">
        <v>307</v>
      </c>
      <c r="V109" s="13" t="s">
        <v>121</v>
      </c>
    </row>
    <row r="110" spans="1:22" ht="30" customHeight="1">
      <c r="A110" s="11" t="s">
        <v>143</v>
      </c>
      <c r="B110" s="11" t="s">
        <v>145</v>
      </c>
      <c r="C110" s="12" t="s">
        <v>207</v>
      </c>
      <c r="D110" s="13" t="s">
        <v>213</v>
      </c>
      <c r="E110" s="14">
        <v>43497</v>
      </c>
      <c r="F110" s="12" t="s">
        <v>185</v>
      </c>
      <c r="G110" s="14">
        <v>43861</v>
      </c>
      <c r="H110" s="15">
        <v>9659.47</v>
      </c>
      <c r="I110" s="15">
        <v>18771.6</v>
      </c>
      <c r="J110" s="15">
        <f>9023.6+7043.6</f>
        <v>16067.2</v>
      </c>
      <c r="K110" s="15">
        <f>5628.8+3868.8</f>
        <v>9497.6</v>
      </c>
      <c r="L110" s="41">
        <v>11257.6</v>
      </c>
      <c r="M110" s="15">
        <v>14799.07</v>
      </c>
      <c r="N110" s="15">
        <v>12232.4</v>
      </c>
      <c r="O110" s="15">
        <f>7645.47+5063.6</f>
        <v>12709.07</v>
      </c>
      <c r="P110" s="15">
        <f>6854+4748.8</f>
        <v>11602.8</v>
      </c>
      <c r="Q110" s="15">
        <f>7718.8+3459.2</f>
        <v>11178</v>
      </c>
      <c r="R110" s="15">
        <f>3459.2+4244.4</f>
        <v>7703.599999999999</v>
      </c>
      <c r="S110" s="40">
        <f>1414.8+7028.4</f>
        <v>8443.199999999999</v>
      </c>
      <c r="T110" s="59">
        <f t="shared" si="4"/>
        <v>143921.61000000002</v>
      </c>
      <c r="U110" s="17" t="s">
        <v>307</v>
      </c>
      <c r="V110" s="13" t="s">
        <v>121</v>
      </c>
    </row>
    <row r="111" spans="1:22" s="52" customFormat="1" ht="30" customHeight="1">
      <c r="A111" s="42" t="s">
        <v>336</v>
      </c>
      <c r="B111" s="42" t="s">
        <v>145</v>
      </c>
      <c r="C111" s="43" t="s">
        <v>235</v>
      </c>
      <c r="D111" s="44" t="s">
        <v>100</v>
      </c>
      <c r="E111" s="45">
        <v>43435</v>
      </c>
      <c r="F111" s="43" t="s">
        <v>113</v>
      </c>
      <c r="G111" s="45">
        <v>43861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7">
        <f t="shared" si="4"/>
        <v>0</v>
      </c>
      <c r="U111" s="48" t="s">
        <v>307</v>
      </c>
      <c r="V111" s="44" t="s">
        <v>121</v>
      </c>
    </row>
    <row r="112" spans="1:22" ht="30" customHeight="1">
      <c r="A112" s="42" t="s">
        <v>336</v>
      </c>
      <c r="B112" s="42" t="s">
        <v>145</v>
      </c>
      <c r="C112" s="43" t="s">
        <v>194</v>
      </c>
      <c r="D112" s="44" t="s">
        <v>127</v>
      </c>
      <c r="E112" s="45">
        <v>43435</v>
      </c>
      <c r="F112" s="43" t="s">
        <v>113</v>
      </c>
      <c r="G112" s="46"/>
      <c r="H112" s="46">
        <v>2600</v>
      </c>
      <c r="I112" s="46">
        <v>0</v>
      </c>
      <c r="J112" s="46">
        <v>0</v>
      </c>
      <c r="K112" s="54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/>
      <c r="S112" s="46">
        <v>0</v>
      </c>
      <c r="T112" s="47">
        <f t="shared" si="4"/>
        <v>2600</v>
      </c>
      <c r="U112" s="48" t="s">
        <v>307</v>
      </c>
      <c r="V112" s="44" t="s">
        <v>121</v>
      </c>
    </row>
    <row r="113" spans="1:22" ht="30" customHeight="1">
      <c r="A113" s="11" t="s">
        <v>143</v>
      </c>
      <c r="B113" s="11" t="s">
        <v>145</v>
      </c>
      <c r="C113" s="12" t="s">
        <v>373</v>
      </c>
      <c r="D113" s="13" t="s">
        <v>386</v>
      </c>
      <c r="E113" s="14">
        <v>43862</v>
      </c>
      <c r="F113" s="12" t="s">
        <v>113</v>
      </c>
      <c r="G113" s="14">
        <v>44227</v>
      </c>
      <c r="H113" s="15">
        <v>0</v>
      </c>
      <c r="I113" s="15">
        <v>1900</v>
      </c>
      <c r="J113" s="15">
        <v>1000</v>
      </c>
      <c r="K113" s="15">
        <v>0</v>
      </c>
      <c r="L113" s="53">
        <v>1300</v>
      </c>
      <c r="M113" s="15">
        <v>700</v>
      </c>
      <c r="N113" s="15">
        <v>1300</v>
      </c>
      <c r="O113" s="15">
        <v>1500</v>
      </c>
      <c r="P113" s="15">
        <v>1000</v>
      </c>
      <c r="Q113" s="15">
        <v>2000</v>
      </c>
      <c r="R113" s="15">
        <v>1300</v>
      </c>
      <c r="S113" s="40">
        <v>400</v>
      </c>
      <c r="T113" s="59">
        <f>SUM(H113:S113)</f>
        <v>12400</v>
      </c>
      <c r="U113" s="17" t="s">
        <v>307</v>
      </c>
      <c r="V113" s="13" t="s">
        <v>121</v>
      </c>
    </row>
    <row r="114" spans="1:22" ht="30" customHeight="1">
      <c r="A114" s="11" t="s">
        <v>143</v>
      </c>
      <c r="B114" s="11" t="s">
        <v>145</v>
      </c>
      <c r="C114" s="12" t="s">
        <v>425</v>
      </c>
      <c r="D114" s="13" t="s">
        <v>426</v>
      </c>
      <c r="E114" s="14">
        <v>44166</v>
      </c>
      <c r="F114" s="12" t="s">
        <v>177</v>
      </c>
      <c r="G114" s="14">
        <v>44530</v>
      </c>
      <c r="H114" s="15"/>
      <c r="I114" s="15"/>
      <c r="J114" s="15"/>
      <c r="K114" s="15"/>
      <c r="L114" s="69"/>
      <c r="M114" s="15"/>
      <c r="N114" s="15"/>
      <c r="O114" s="15"/>
      <c r="P114" s="15"/>
      <c r="Q114" s="15"/>
      <c r="R114" s="15"/>
      <c r="S114" s="40">
        <v>7770</v>
      </c>
      <c r="T114" s="59">
        <f>SUM(H114:S114)</f>
        <v>7770</v>
      </c>
      <c r="U114" s="17"/>
      <c r="V114" s="13"/>
    </row>
    <row r="115" spans="1:22" s="52" customFormat="1" ht="30" customHeight="1">
      <c r="A115" s="42" t="s">
        <v>336</v>
      </c>
      <c r="B115" s="42" t="s">
        <v>145</v>
      </c>
      <c r="C115" s="43" t="s">
        <v>193</v>
      </c>
      <c r="D115" s="44" t="s">
        <v>66</v>
      </c>
      <c r="E115" s="45">
        <v>43435</v>
      </c>
      <c r="F115" s="43" t="s">
        <v>88</v>
      </c>
      <c r="G115" s="45">
        <v>44165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7">
        <f t="shared" si="4"/>
        <v>0</v>
      </c>
      <c r="U115" s="48" t="s">
        <v>307</v>
      </c>
      <c r="V115" s="44" t="s">
        <v>121</v>
      </c>
    </row>
    <row r="116" spans="1:22" ht="30" customHeight="1">
      <c r="A116" s="11" t="s">
        <v>143</v>
      </c>
      <c r="B116" s="11" t="s">
        <v>145</v>
      </c>
      <c r="C116" s="12" t="s">
        <v>340</v>
      </c>
      <c r="D116" s="13" t="s">
        <v>348</v>
      </c>
      <c r="E116" s="14">
        <v>43892</v>
      </c>
      <c r="F116" s="12" t="s">
        <v>353</v>
      </c>
      <c r="G116" s="14">
        <v>44256</v>
      </c>
      <c r="H116" s="15">
        <v>0</v>
      </c>
      <c r="I116" s="15">
        <v>0</v>
      </c>
      <c r="J116" s="15">
        <v>8910</v>
      </c>
      <c r="K116" s="15">
        <v>4510</v>
      </c>
      <c r="L116" s="41">
        <v>14300</v>
      </c>
      <c r="M116" s="15">
        <v>22990</v>
      </c>
      <c r="N116" s="15">
        <v>23650</v>
      </c>
      <c r="O116" s="15">
        <v>21670</v>
      </c>
      <c r="P116" s="15">
        <v>21890</v>
      </c>
      <c r="Q116" s="15">
        <v>17050</v>
      </c>
      <c r="R116" s="15">
        <v>4722.5</v>
      </c>
      <c r="S116" s="40">
        <v>8420</v>
      </c>
      <c r="T116" s="59">
        <f t="shared" si="4"/>
        <v>148112.5</v>
      </c>
      <c r="U116" s="17" t="s">
        <v>307</v>
      </c>
      <c r="V116" s="13" t="s">
        <v>121</v>
      </c>
    </row>
    <row r="117" spans="1:22" ht="30" customHeight="1">
      <c r="A117" s="11" t="s">
        <v>143</v>
      </c>
      <c r="B117" s="11" t="s">
        <v>145</v>
      </c>
      <c r="C117" s="12" t="s">
        <v>192</v>
      </c>
      <c r="D117" s="13" t="s">
        <v>67</v>
      </c>
      <c r="E117" s="14">
        <v>43435</v>
      </c>
      <c r="F117" s="12" t="s">
        <v>89</v>
      </c>
      <c r="G117" s="14">
        <v>44165</v>
      </c>
      <c r="H117" s="15">
        <v>23512.5</v>
      </c>
      <c r="I117" s="15">
        <v>24557.5</v>
      </c>
      <c r="J117" s="15">
        <v>1875</v>
      </c>
      <c r="K117" s="15">
        <v>1100</v>
      </c>
      <c r="L117" s="41">
        <v>3025</v>
      </c>
      <c r="M117" s="15">
        <v>3052.5</v>
      </c>
      <c r="N117" s="15">
        <v>3822.5</v>
      </c>
      <c r="O117" s="15">
        <v>4510</v>
      </c>
      <c r="P117" s="15">
        <v>4427.5</v>
      </c>
      <c r="Q117" s="15">
        <v>6372.5</v>
      </c>
      <c r="R117" s="15">
        <v>16830</v>
      </c>
      <c r="S117" s="40">
        <v>13310</v>
      </c>
      <c r="T117" s="59">
        <f t="shared" si="4"/>
        <v>106395</v>
      </c>
      <c r="U117" s="17" t="s">
        <v>307</v>
      </c>
      <c r="V117" s="13" t="s">
        <v>121</v>
      </c>
    </row>
    <row r="118" spans="1:22" ht="30" customHeight="1">
      <c r="A118" s="11" t="s">
        <v>143</v>
      </c>
      <c r="B118" s="11" t="s">
        <v>145</v>
      </c>
      <c r="C118" s="12" t="s">
        <v>191</v>
      </c>
      <c r="D118" s="13" t="s">
        <v>68</v>
      </c>
      <c r="E118" s="14">
        <v>43435</v>
      </c>
      <c r="F118" s="12" t="s">
        <v>90</v>
      </c>
      <c r="G118" s="14">
        <v>44165</v>
      </c>
      <c r="H118" s="15">
        <v>7282.5</v>
      </c>
      <c r="I118" s="15">
        <v>7332.5</v>
      </c>
      <c r="J118" s="15">
        <v>7447.5</v>
      </c>
      <c r="K118" s="15">
        <v>6627.5</v>
      </c>
      <c r="L118" s="41">
        <v>6490</v>
      </c>
      <c r="M118" s="15">
        <v>7590</v>
      </c>
      <c r="N118" s="15">
        <v>7260</v>
      </c>
      <c r="O118" s="15">
        <v>7342.5</v>
      </c>
      <c r="P118" s="15">
        <v>7260</v>
      </c>
      <c r="Q118" s="15">
        <v>7227.5</v>
      </c>
      <c r="R118" s="15">
        <v>7310</v>
      </c>
      <c r="S118" s="40">
        <v>7150</v>
      </c>
      <c r="T118" s="59">
        <f t="shared" si="4"/>
        <v>86320</v>
      </c>
      <c r="U118" s="17" t="s">
        <v>307</v>
      </c>
      <c r="V118" s="13" t="s">
        <v>121</v>
      </c>
    </row>
    <row r="119" spans="1:22" ht="12.75">
      <c r="A119" s="94" t="s">
        <v>0</v>
      </c>
      <c r="B119" s="94"/>
      <c r="C119" s="94"/>
      <c r="D119" s="94"/>
      <c r="E119" s="94"/>
      <c r="F119" s="94"/>
      <c r="G119" s="94"/>
      <c r="H119" s="65">
        <f aca="true" t="shared" si="5" ref="H119:S119">SUM(H29:H118)</f>
        <v>695254.76</v>
      </c>
      <c r="I119" s="65">
        <f t="shared" si="5"/>
        <v>695250.02</v>
      </c>
      <c r="J119" s="65">
        <f t="shared" si="5"/>
        <v>620054.2000000001</v>
      </c>
      <c r="K119" s="65">
        <f t="shared" si="5"/>
        <v>449060.3999999999</v>
      </c>
      <c r="L119" s="65">
        <f t="shared" si="5"/>
        <v>661927.23</v>
      </c>
      <c r="M119" s="65">
        <f t="shared" si="5"/>
        <v>907177.7300000001</v>
      </c>
      <c r="N119" s="65">
        <f t="shared" si="5"/>
        <v>776592.26</v>
      </c>
      <c r="O119" s="65">
        <f t="shared" si="5"/>
        <v>802459.4</v>
      </c>
      <c r="P119" s="65">
        <f t="shared" si="5"/>
        <v>878304.1500000001</v>
      </c>
      <c r="Q119" s="65">
        <f t="shared" si="5"/>
        <v>896209.4799999999</v>
      </c>
      <c r="R119" s="65">
        <f t="shared" si="5"/>
        <v>810432.48</v>
      </c>
      <c r="S119" s="64">
        <f t="shared" si="5"/>
        <v>691439.0299999999</v>
      </c>
      <c r="T119" s="16">
        <f>SUM(H119:S119)</f>
        <v>8884161.139999999</v>
      </c>
      <c r="U119" s="95"/>
      <c r="V119" s="95"/>
    </row>
    <row r="120" spans="1:22" ht="12.75">
      <c r="A120" s="24"/>
      <c r="B120" s="24"/>
      <c r="C120" s="24"/>
      <c r="D120" s="24"/>
      <c r="E120" s="24"/>
      <c r="F120" s="24"/>
      <c r="G120" s="24"/>
      <c r="H120" s="25"/>
      <c r="I120" s="25"/>
      <c r="J120" s="25"/>
      <c r="K120" s="25"/>
      <c r="L120" s="25"/>
      <c r="M120" s="25">
        <f>M119+M124</f>
        <v>1020887.3200000001</v>
      </c>
      <c r="N120" s="25"/>
      <c r="O120" s="25"/>
      <c r="P120" s="25"/>
      <c r="Q120" s="25"/>
      <c r="R120" s="25"/>
      <c r="S120" s="25">
        <f>S119+S122</f>
        <v>813514.21</v>
      </c>
      <c r="T120" s="26">
        <f>T119+T122</f>
        <v>10264703.69</v>
      </c>
      <c r="U120" s="26"/>
      <c r="V120" s="27"/>
    </row>
    <row r="121" spans="1:23" s="21" customFormat="1" ht="15">
      <c r="A121" s="91" t="s">
        <v>392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3"/>
      <c r="W121" s="62">
        <f>SUM(T29:T118)</f>
        <v>8884161.14</v>
      </c>
    </row>
    <row r="122" spans="1:23" ht="25.5">
      <c r="A122" s="11" t="s">
        <v>143</v>
      </c>
      <c r="B122" s="11" t="s">
        <v>145</v>
      </c>
      <c r="C122" s="12" t="s">
        <v>118</v>
      </c>
      <c r="D122" s="13" t="s">
        <v>119</v>
      </c>
      <c r="E122" s="14">
        <v>43435</v>
      </c>
      <c r="F122" s="18" t="s">
        <v>13</v>
      </c>
      <c r="G122" s="14">
        <v>44165</v>
      </c>
      <c r="H122" s="15">
        <v>107796.87</v>
      </c>
      <c r="I122" s="15">
        <v>103371.67</v>
      </c>
      <c r="J122" s="15">
        <v>119384.33</v>
      </c>
      <c r="K122" s="15">
        <v>115119.35</v>
      </c>
      <c r="L122" s="15">
        <v>103878.59</v>
      </c>
      <c r="M122" s="15">
        <v>112209.59</v>
      </c>
      <c r="N122" s="15">
        <v>115746.28</v>
      </c>
      <c r="O122" s="15">
        <v>139050.53</v>
      </c>
      <c r="P122" s="15">
        <v>109815.39</v>
      </c>
      <c r="Q122" s="15">
        <v>126250.93</v>
      </c>
      <c r="R122" s="15">
        <v>105843.84</v>
      </c>
      <c r="S122" s="15">
        <v>122075.18</v>
      </c>
      <c r="T122" s="59">
        <f>SUM(H122:S122)</f>
        <v>1380542.55</v>
      </c>
      <c r="U122" s="17" t="s">
        <v>307</v>
      </c>
      <c r="V122" s="13" t="s">
        <v>121</v>
      </c>
      <c r="W122" s="63">
        <f>8376222.11-T119-T201-T129-T133</f>
        <v>-696439.0299999984</v>
      </c>
    </row>
    <row r="123" spans="1:22" ht="44.25" customHeight="1">
      <c r="A123" s="11" t="s">
        <v>143</v>
      </c>
      <c r="B123" s="11" t="s">
        <v>145</v>
      </c>
      <c r="C123" s="12" t="s">
        <v>93</v>
      </c>
      <c r="D123" s="13" t="s">
        <v>22</v>
      </c>
      <c r="E123" s="14">
        <v>43435</v>
      </c>
      <c r="F123" s="18" t="s">
        <v>35</v>
      </c>
      <c r="G123" s="14">
        <v>44165</v>
      </c>
      <c r="H123" s="15">
        <v>675.9</v>
      </c>
      <c r="I123" s="15">
        <v>675.9</v>
      </c>
      <c r="J123" s="15">
        <v>675.9</v>
      </c>
      <c r="K123" s="15">
        <v>675.9</v>
      </c>
      <c r="L123" s="15">
        <v>1500</v>
      </c>
      <c r="M123" s="15">
        <v>1500</v>
      </c>
      <c r="N123" s="15">
        <v>1500</v>
      </c>
      <c r="O123" s="15">
        <v>1500</v>
      </c>
      <c r="P123" s="15">
        <v>1500</v>
      </c>
      <c r="Q123" s="15">
        <v>1500</v>
      </c>
      <c r="R123" s="15">
        <v>1500</v>
      </c>
      <c r="S123" s="15">
        <v>1500</v>
      </c>
      <c r="T123" s="16">
        <f>SUM(H123:S123)</f>
        <v>14703.6</v>
      </c>
      <c r="U123" s="17" t="s">
        <v>313</v>
      </c>
      <c r="V123" s="13" t="s">
        <v>121</v>
      </c>
    </row>
    <row r="124" spans="1:22" ht="12.75">
      <c r="A124" s="94" t="s">
        <v>0</v>
      </c>
      <c r="B124" s="94"/>
      <c r="C124" s="94"/>
      <c r="D124" s="94"/>
      <c r="E124" s="94"/>
      <c r="F124" s="94"/>
      <c r="G124" s="94"/>
      <c r="H124" s="65">
        <f aca="true" t="shared" si="6" ref="H124:S124">SUM(H122:H123)</f>
        <v>108472.76999999999</v>
      </c>
      <c r="I124" s="65">
        <f t="shared" si="6"/>
        <v>104047.56999999999</v>
      </c>
      <c r="J124" s="65">
        <f t="shared" si="6"/>
        <v>120060.23</v>
      </c>
      <c r="K124" s="65">
        <f t="shared" si="6"/>
        <v>115795.25</v>
      </c>
      <c r="L124" s="65">
        <f t="shared" si="6"/>
        <v>105378.59</v>
      </c>
      <c r="M124" s="65">
        <f t="shared" si="6"/>
        <v>113709.59</v>
      </c>
      <c r="N124" s="65">
        <f t="shared" si="6"/>
        <v>117246.28</v>
      </c>
      <c r="O124" s="65">
        <f t="shared" si="6"/>
        <v>140550.53</v>
      </c>
      <c r="P124" s="65">
        <f t="shared" si="6"/>
        <v>111315.39</v>
      </c>
      <c r="Q124" s="65">
        <f t="shared" si="6"/>
        <v>127750.93</v>
      </c>
      <c r="R124" s="65">
        <f t="shared" si="6"/>
        <v>107343.84</v>
      </c>
      <c r="S124" s="64">
        <f t="shared" si="6"/>
        <v>123575.18</v>
      </c>
      <c r="T124" s="16">
        <f>SUM(H124:S124)</f>
        <v>1395246.15</v>
      </c>
      <c r="U124" s="95"/>
      <c r="V124" s="95"/>
    </row>
    <row r="125" spans="1:22" ht="12.75">
      <c r="A125" s="24"/>
      <c r="B125" s="24"/>
      <c r="C125" s="24"/>
      <c r="D125" s="24"/>
      <c r="E125" s="24"/>
      <c r="F125" s="24"/>
      <c r="G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6"/>
      <c r="U125" s="26"/>
      <c r="V125" s="27"/>
    </row>
    <row r="126" spans="1:22" ht="12.75">
      <c r="A126" s="24"/>
      <c r="B126" s="24"/>
      <c r="C126" s="24"/>
      <c r="D126" s="24"/>
      <c r="E126" s="24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6"/>
      <c r="U126" s="26"/>
      <c r="V126" s="27"/>
    </row>
    <row r="127" spans="1:22" s="21" customFormat="1" ht="15">
      <c r="A127" s="91" t="s">
        <v>416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3"/>
    </row>
    <row r="128" spans="1:22" ht="30" customHeight="1">
      <c r="A128" s="11" t="s">
        <v>143</v>
      </c>
      <c r="B128" s="11" t="s">
        <v>145</v>
      </c>
      <c r="C128" s="12" t="s">
        <v>354</v>
      </c>
      <c r="D128" s="13" t="s">
        <v>343</v>
      </c>
      <c r="E128" s="14">
        <v>43864</v>
      </c>
      <c r="F128" s="12" t="s">
        <v>352</v>
      </c>
      <c r="G128" s="14">
        <v>44196</v>
      </c>
      <c r="H128" s="15">
        <v>0</v>
      </c>
      <c r="I128" s="15">
        <v>0</v>
      </c>
      <c r="J128" s="15">
        <v>5000</v>
      </c>
      <c r="K128" s="15">
        <v>5000</v>
      </c>
      <c r="L128" s="15">
        <v>5000</v>
      </c>
      <c r="M128" s="15">
        <v>5000</v>
      </c>
      <c r="N128" s="15">
        <v>5000</v>
      </c>
      <c r="O128" s="15">
        <v>5000</v>
      </c>
      <c r="P128" s="15">
        <v>5000</v>
      </c>
      <c r="Q128" s="15">
        <v>0</v>
      </c>
      <c r="R128" s="15">
        <v>5000</v>
      </c>
      <c r="S128" s="15">
        <v>5000</v>
      </c>
      <c r="T128" s="16">
        <f>SUM(H128:S128)</f>
        <v>45000</v>
      </c>
      <c r="U128" s="17" t="s">
        <v>415</v>
      </c>
      <c r="V128" s="13" t="s">
        <v>121</v>
      </c>
    </row>
    <row r="129" spans="1:22" ht="12.75">
      <c r="A129" s="94" t="s">
        <v>0</v>
      </c>
      <c r="B129" s="94"/>
      <c r="C129" s="94"/>
      <c r="D129" s="94"/>
      <c r="E129" s="94"/>
      <c r="F129" s="94"/>
      <c r="G129" s="94"/>
      <c r="H129" s="65">
        <f aca="true" t="shared" si="7" ref="H129:S129">SUM(H128:H128)</f>
        <v>0</v>
      </c>
      <c r="I129" s="65">
        <f t="shared" si="7"/>
        <v>0</v>
      </c>
      <c r="J129" s="65">
        <f t="shared" si="7"/>
        <v>5000</v>
      </c>
      <c r="K129" s="65">
        <f t="shared" si="7"/>
        <v>5000</v>
      </c>
      <c r="L129" s="65">
        <f t="shared" si="7"/>
        <v>5000</v>
      </c>
      <c r="M129" s="65">
        <f t="shared" si="7"/>
        <v>5000</v>
      </c>
      <c r="N129" s="65">
        <f t="shared" si="7"/>
        <v>5000</v>
      </c>
      <c r="O129" s="65">
        <f t="shared" si="7"/>
        <v>5000</v>
      </c>
      <c r="P129" s="65">
        <f t="shared" si="7"/>
        <v>5000</v>
      </c>
      <c r="Q129" s="65">
        <f t="shared" si="7"/>
        <v>0</v>
      </c>
      <c r="R129" s="65">
        <f t="shared" si="7"/>
        <v>5000</v>
      </c>
      <c r="S129" s="65">
        <f t="shared" si="7"/>
        <v>5000</v>
      </c>
      <c r="T129" s="16">
        <f>SUM(H129:S129)</f>
        <v>45000</v>
      </c>
      <c r="U129" s="95"/>
      <c r="V129" s="95"/>
    </row>
    <row r="130" spans="1:22" ht="12.75">
      <c r="A130" s="24"/>
      <c r="B130" s="24"/>
      <c r="C130" s="24"/>
      <c r="D130" s="24"/>
      <c r="E130" s="24"/>
      <c r="F130" s="24"/>
      <c r="G130" s="24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6"/>
      <c r="U130" s="26"/>
      <c r="V130" s="27"/>
    </row>
    <row r="131" spans="1:22" ht="12.75">
      <c r="A131" s="24"/>
      <c r="B131" s="24"/>
      <c r="C131" s="24"/>
      <c r="D131" s="24"/>
      <c r="E131" s="24"/>
      <c r="F131" s="24"/>
      <c r="G131" s="24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6"/>
      <c r="U131" s="26"/>
      <c r="V131" s="27"/>
    </row>
    <row r="132" spans="1:22" s="21" customFormat="1" ht="15">
      <c r="A132" s="91" t="s">
        <v>417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3"/>
    </row>
    <row r="133" spans="1:22" ht="30" customHeight="1">
      <c r="A133" s="42" t="s">
        <v>336</v>
      </c>
      <c r="B133" s="42" t="s">
        <v>145</v>
      </c>
      <c r="C133" s="50" t="s">
        <v>300</v>
      </c>
      <c r="D133" s="44" t="s">
        <v>157</v>
      </c>
      <c r="E133" s="45">
        <v>43435</v>
      </c>
      <c r="F133" s="43" t="s">
        <v>116</v>
      </c>
      <c r="G133" s="45">
        <v>44165</v>
      </c>
      <c r="H133" s="46">
        <v>2500</v>
      </c>
      <c r="I133" s="46">
        <v>2500</v>
      </c>
      <c r="J133" s="46">
        <v>2500</v>
      </c>
      <c r="K133" s="46">
        <v>2500</v>
      </c>
      <c r="L133" s="46">
        <v>2500</v>
      </c>
      <c r="M133" s="46">
        <v>2500</v>
      </c>
      <c r="N133" s="46">
        <v>2500</v>
      </c>
      <c r="O133" s="46">
        <v>1500</v>
      </c>
      <c r="P133" s="46">
        <v>0</v>
      </c>
      <c r="Q133" s="46">
        <v>0</v>
      </c>
      <c r="R133" s="46">
        <v>0</v>
      </c>
      <c r="S133" s="46">
        <v>0</v>
      </c>
      <c r="T133" s="47">
        <f>SUM(H133:S133)</f>
        <v>19000</v>
      </c>
      <c r="U133" s="48" t="s">
        <v>307</v>
      </c>
      <c r="V133" s="44" t="s">
        <v>121</v>
      </c>
    </row>
    <row r="134" spans="1:22" ht="44.25" customHeight="1">
      <c r="A134" s="11" t="s">
        <v>143</v>
      </c>
      <c r="B134" s="11" t="s">
        <v>145</v>
      </c>
      <c r="C134" s="12" t="s">
        <v>418</v>
      </c>
      <c r="D134" s="13" t="s">
        <v>419</v>
      </c>
      <c r="E134" s="14">
        <v>44075</v>
      </c>
      <c r="F134" s="18" t="s">
        <v>116</v>
      </c>
      <c r="G134" s="14">
        <v>44439</v>
      </c>
      <c r="H134" s="15"/>
      <c r="I134" s="15"/>
      <c r="J134" s="15"/>
      <c r="K134" s="15"/>
      <c r="L134" s="15"/>
      <c r="M134" s="15"/>
      <c r="N134" s="15"/>
      <c r="O134" s="15"/>
      <c r="P134" s="15">
        <v>3000</v>
      </c>
      <c r="Q134" s="15">
        <v>3000</v>
      </c>
      <c r="R134" s="15">
        <v>3000</v>
      </c>
      <c r="S134" s="15">
        <v>3000</v>
      </c>
      <c r="T134" s="16">
        <f>SUM(H134:S134)</f>
        <v>12000</v>
      </c>
      <c r="U134" s="17" t="s">
        <v>313</v>
      </c>
      <c r="V134" s="13" t="s">
        <v>121</v>
      </c>
    </row>
    <row r="135" spans="1:22" ht="12.75">
      <c r="A135" s="94" t="s">
        <v>0</v>
      </c>
      <c r="B135" s="94"/>
      <c r="C135" s="94"/>
      <c r="D135" s="94"/>
      <c r="E135" s="94"/>
      <c r="F135" s="94"/>
      <c r="G135" s="94"/>
      <c r="H135" s="65">
        <f aca="true" t="shared" si="8" ref="H135:S135">SUM(H133:H134)</f>
        <v>2500</v>
      </c>
      <c r="I135" s="65">
        <f t="shared" si="8"/>
        <v>2500</v>
      </c>
      <c r="J135" s="65">
        <f t="shared" si="8"/>
        <v>2500</v>
      </c>
      <c r="K135" s="65">
        <f t="shared" si="8"/>
        <v>2500</v>
      </c>
      <c r="L135" s="65">
        <f t="shared" si="8"/>
        <v>2500</v>
      </c>
      <c r="M135" s="65">
        <f t="shared" si="8"/>
        <v>2500</v>
      </c>
      <c r="N135" s="65">
        <f t="shared" si="8"/>
        <v>2500</v>
      </c>
      <c r="O135" s="65">
        <f t="shared" si="8"/>
        <v>1500</v>
      </c>
      <c r="P135" s="65">
        <f t="shared" si="8"/>
        <v>3000</v>
      </c>
      <c r="Q135" s="65">
        <f t="shared" si="8"/>
        <v>3000</v>
      </c>
      <c r="R135" s="65">
        <f t="shared" si="8"/>
        <v>3000</v>
      </c>
      <c r="S135" s="65">
        <f t="shared" si="8"/>
        <v>3000</v>
      </c>
      <c r="T135" s="16">
        <f>SUM(H135:S135)</f>
        <v>31000</v>
      </c>
      <c r="U135" s="95"/>
      <c r="V135" s="95"/>
    </row>
    <row r="136" spans="1:22" ht="12.75">
      <c r="A136" s="24"/>
      <c r="B136" s="24"/>
      <c r="C136" s="24"/>
      <c r="D136" s="24"/>
      <c r="E136" s="24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/>
      <c r="U136" s="26"/>
      <c r="V136" s="27"/>
    </row>
    <row r="137" spans="1:22" ht="12.75">
      <c r="A137" s="24"/>
      <c r="B137" s="24"/>
      <c r="C137" s="24"/>
      <c r="D137" s="24"/>
      <c r="E137" s="24"/>
      <c r="F137" s="24"/>
      <c r="G137" s="24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6"/>
      <c r="U137" s="26"/>
      <c r="V137" s="27"/>
    </row>
    <row r="138" spans="1:22" ht="12.75">
      <c r="A138" s="24"/>
      <c r="B138" s="24"/>
      <c r="C138" s="24"/>
      <c r="D138" s="24"/>
      <c r="E138" s="24"/>
      <c r="F138" s="24"/>
      <c r="G138" s="24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/>
      <c r="U138" s="26"/>
      <c r="V138" s="27"/>
    </row>
    <row r="139" spans="1:22" ht="12.75">
      <c r="A139" s="24"/>
      <c r="B139" s="24"/>
      <c r="C139" s="24"/>
      <c r="D139" s="24"/>
      <c r="E139" s="24"/>
      <c r="F139" s="24"/>
      <c r="G139" s="24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6"/>
      <c r="U139" s="26"/>
      <c r="V139" s="27"/>
    </row>
    <row r="140" spans="1:22" s="21" customFormat="1" ht="15">
      <c r="A140" s="91" t="s">
        <v>393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3"/>
    </row>
    <row r="141" spans="1:22" ht="25.5">
      <c r="A141" s="11" t="s">
        <v>143</v>
      </c>
      <c r="B141" s="11" t="s">
        <v>145</v>
      </c>
      <c r="C141" s="12" t="s">
        <v>410</v>
      </c>
      <c r="D141" s="13" t="s">
        <v>108</v>
      </c>
      <c r="E141" s="14" t="s">
        <v>296</v>
      </c>
      <c r="F141" s="18" t="s">
        <v>10</v>
      </c>
      <c r="G141" s="14">
        <v>44165</v>
      </c>
      <c r="H141" s="15">
        <v>636.25</v>
      </c>
      <c r="I141" s="15">
        <v>636.25</v>
      </c>
      <c r="J141" s="15">
        <v>636.25</v>
      </c>
      <c r="K141" s="15">
        <v>636.25</v>
      </c>
      <c r="L141" s="15">
        <v>636.25</v>
      </c>
      <c r="M141" s="15">
        <v>636.25</v>
      </c>
      <c r="N141" s="15">
        <v>636.25</v>
      </c>
      <c r="O141" s="15">
        <v>636.25</v>
      </c>
      <c r="P141" s="15">
        <v>636.25</v>
      </c>
      <c r="Q141" s="15">
        <v>636.25</v>
      </c>
      <c r="R141" s="15">
        <v>636.25</v>
      </c>
      <c r="S141" s="15">
        <v>636.25</v>
      </c>
      <c r="T141" s="16">
        <f>SUM(H141:S141)</f>
        <v>7635</v>
      </c>
      <c r="U141" s="17" t="s">
        <v>310</v>
      </c>
      <c r="V141" s="13" t="s">
        <v>121</v>
      </c>
    </row>
    <row r="142" spans="1:22" ht="38.25">
      <c r="A142" s="42" t="s">
        <v>387</v>
      </c>
      <c r="B142" s="42" t="s">
        <v>145</v>
      </c>
      <c r="C142" s="43" t="s">
        <v>357</v>
      </c>
      <c r="D142" s="44" t="s">
        <v>356</v>
      </c>
      <c r="E142" s="45">
        <v>43983</v>
      </c>
      <c r="F142" s="49" t="s">
        <v>388</v>
      </c>
      <c r="G142" s="45">
        <v>44072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8625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/>
      <c r="T142" s="47">
        <f>SUM(H142:S142)</f>
        <v>8625</v>
      </c>
      <c r="U142" s="48" t="s">
        <v>355</v>
      </c>
      <c r="V142" s="44" t="s">
        <v>121</v>
      </c>
    </row>
    <row r="143" spans="1:22" ht="12.75">
      <c r="A143" s="94"/>
      <c r="B143" s="94"/>
      <c r="C143" s="94"/>
      <c r="D143" s="94"/>
      <c r="E143" s="94"/>
      <c r="F143" s="94"/>
      <c r="G143" s="94"/>
      <c r="H143" s="65">
        <f aca="true" t="shared" si="9" ref="H143:M143">SUM(H141:H142)</f>
        <v>636.25</v>
      </c>
      <c r="I143" s="65">
        <f t="shared" si="9"/>
        <v>636.25</v>
      </c>
      <c r="J143" s="65">
        <f t="shared" si="9"/>
        <v>636.25</v>
      </c>
      <c r="K143" s="65">
        <f t="shared" si="9"/>
        <v>636.25</v>
      </c>
      <c r="L143" s="65">
        <f t="shared" si="9"/>
        <v>636.25</v>
      </c>
      <c r="M143" s="65">
        <f t="shared" si="9"/>
        <v>9261.25</v>
      </c>
      <c r="N143" s="65">
        <f aca="true" t="shared" si="10" ref="N143:S143">SUM(N141:N141)</f>
        <v>636.25</v>
      </c>
      <c r="O143" s="65">
        <f t="shared" si="10"/>
        <v>636.25</v>
      </c>
      <c r="P143" s="65">
        <f t="shared" si="10"/>
        <v>636.25</v>
      </c>
      <c r="Q143" s="65">
        <f t="shared" si="10"/>
        <v>636.25</v>
      </c>
      <c r="R143" s="65">
        <f t="shared" si="10"/>
        <v>636.25</v>
      </c>
      <c r="S143" s="65">
        <f t="shared" si="10"/>
        <v>636.25</v>
      </c>
      <c r="T143" s="16">
        <f>SUM(H143:S143)</f>
        <v>16260</v>
      </c>
      <c r="U143" s="95"/>
      <c r="V143" s="95"/>
    </row>
    <row r="144" spans="1:22" ht="12.75">
      <c r="A144" s="24"/>
      <c r="B144" s="24"/>
      <c r="C144" s="24"/>
      <c r="D144" s="24"/>
      <c r="E144" s="24"/>
      <c r="F144" s="24"/>
      <c r="G144" s="24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6"/>
      <c r="U144" s="26"/>
      <c r="V144" s="27"/>
    </row>
    <row r="145" spans="1:22" s="21" customFormat="1" ht="15">
      <c r="A145" s="91" t="s">
        <v>394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3"/>
    </row>
    <row r="146" spans="1:22" ht="25.5">
      <c r="A146" s="11" t="s">
        <v>143</v>
      </c>
      <c r="B146" s="11" t="s">
        <v>145</v>
      </c>
      <c r="C146" s="12" t="s">
        <v>179</v>
      </c>
      <c r="D146" s="13" t="s">
        <v>197</v>
      </c>
      <c r="E146" s="14">
        <v>43466</v>
      </c>
      <c r="F146" s="18" t="s">
        <v>34</v>
      </c>
      <c r="G146" s="14">
        <v>44196</v>
      </c>
      <c r="H146" s="15">
        <v>84</v>
      </c>
      <c r="I146" s="15">
        <v>84</v>
      </c>
      <c r="J146" s="15">
        <v>84</v>
      </c>
      <c r="K146" s="15">
        <v>84</v>
      </c>
      <c r="L146" s="15">
        <v>84</v>
      </c>
      <c r="M146" s="15">
        <v>84</v>
      </c>
      <c r="N146" s="15">
        <v>84</v>
      </c>
      <c r="O146" s="15">
        <v>84</v>
      </c>
      <c r="P146" s="15">
        <v>84</v>
      </c>
      <c r="Q146" s="15">
        <v>84</v>
      </c>
      <c r="R146" s="15">
        <v>84</v>
      </c>
      <c r="S146" s="15">
        <v>84</v>
      </c>
      <c r="T146" s="16">
        <f>SUM(H146:S146)</f>
        <v>1008</v>
      </c>
      <c r="U146" s="17" t="s">
        <v>307</v>
      </c>
      <c r="V146" s="13" t="s">
        <v>121</v>
      </c>
    </row>
    <row r="147" spans="1:22" ht="25.5">
      <c r="A147" s="11" t="s">
        <v>143</v>
      </c>
      <c r="B147" s="11" t="s">
        <v>145</v>
      </c>
      <c r="C147" s="12" t="s">
        <v>331</v>
      </c>
      <c r="D147" s="13" t="s">
        <v>332</v>
      </c>
      <c r="E147" s="14">
        <v>43885</v>
      </c>
      <c r="F147" s="18" t="s">
        <v>9</v>
      </c>
      <c r="G147" s="14">
        <v>44251</v>
      </c>
      <c r="H147" s="15">
        <v>0</v>
      </c>
      <c r="I147" s="15">
        <v>3438.62</v>
      </c>
      <c r="J147" s="15">
        <v>16620</v>
      </c>
      <c r="K147" s="15">
        <v>16620</v>
      </c>
      <c r="L147" s="15">
        <v>16620</v>
      </c>
      <c r="M147" s="15">
        <v>16620</v>
      </c>
      <c r="N147" s="15">
        <v>16620</v>
      </c>
      <c r="O147" s="15">
        <v>16620</v>
      </c>
      <c r="P147" s="15">
        <v>16620</v>
      </c>
      <c r="Q147" s="15">
        <v>16620</v>
      </c>
      <c r="R147" s="15">
        <v>16620</v>
      </c>
      <c r="S147" s="15">
        <v>16620</v>
      </c>
      <c r="T147" s="16">
        <f>SUM(H147:S147)</f>
        <v>169638.62</v>
      </c>
      <c r="U147" s="17" t="s">
        <v>308</v>
      </c>
      <c r="V147" s="13" t="s">
        <v>121</v>
      </c>
    </row>
    <row r="148" spans="1:22" s="52" customFormat="1" ht="25.5">
      <c r="A148" s="42" t="s">
        <v>336</v>
      </c>
      <c r="B148" s="42" t="s">
        <v>145</v>
      </c>
      <c r="C148" s="43" t="s">
        <v>37</v>
      </c>
      <c r="D148" s="44" t="s">
        <v>140</v>
      </c>
      <c r="E148" s="45">
        <v>43435</v>
      </c>
      <c r="F148" s="49" t="s">
        <v>9</v>
      </c>
      <c r="G148" s="45">
        <v>43882</v>
      </c>
      <c r="H148" s="46">
        <v>19077</v>
      </c>
      <c r="I148" s="46">
        <v>15787.86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7">
        <f>SUM(H148:S148)</f>
        <v>34864.86</v>
      </c>
      <c r="U148" s="48" t="s">
        <v>308</v>
      </c>
      <c r="V148" s="44" t="s">
        <v>121</v>
      </c>
    </row>
    <row r="149" spans="1:22" ht="12.75">
      <c r="A149" s="94" t="s">
        <v>0</v>
      </c>
      <c r="B149" s="94"/>
      <c r="C149" s="94"/>
      <c r="D149" s="94"/>
      <c r="E149" s="94"/>
      <c r="F149" s="94"/>
      <c r="G149" s="94"/>
      <c r="H149" s="65">
        <f aca="true" t="shared" si="11" ref="H149:S149">SUM(H146:H148)</f>
        <v>19161</v>
      </c>
      <c r="I149" s="65">
        <f t="shared" si="11"/>
        <v>19310.48</v>
      </c>
      <c r="J149" s="65">
        <f t="shared" si="11"/>
        <v>16704</v>
      </c>
      <c r="K149" s="65">
        <f>SUM(K146:K148)</f>
        <v>16704</v>
      </c>
      <c r="L149" s="65">
        <f t="shared" si="11"/>
        <v>16704</v>
      </c>
      <c r="M149" s="65">
        <f t="shared" si="11"/>
        <v>16704</v>
      </c>
      <c r="N149" s="65">
        <f t="shared" si="11"/>
        <v>16704</v>
      </c>
      <c r="O149" s="65">
        <f t="shared" si="11"/>
        <v>16704</v>
      </c>
      <c r="P149" s="65">
        <f t="shared" si="11"/>
        <v>16704</v>
      </c>
      <c r="Q149" s="65">
        <f t="shared" si="11"/>
        <v>16704</v>
      </c>
      <c r="R149" s="65">
        <f t="shared" si="11"/>
        <v>16704</v>
      </c>
      <c r="S149" s="65">
        <f t="shared" si="11"/>
        <v>16704</v>
      </c>
      <c r="T149" s="16">
        <f>SUM(H149:S149)</f>
        <v>205511.47999999998</v>
      </c>
      <c r="U149" s="95"/>
      <c r="V149" s="95"/>
    </row>
    <row r="150" spans="1:22" ht="12.75">
      <c r="A150" s="24"/>
      <c r="B150" s="24"/>
      <c r="C150" s="24"/>
      <c r="D150" s="24"/>
      <c r="E150" s="24"/>
      <c r="F150" s="24"/>
      <c r="G150" s="2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6"/>
      <c r="U150" s="26"/>
      <c r="V150" s="28"/>
    </row>
    <row r="151" spans="1:22" s="21" customFormat="1" ht="12.75">
      <c r="A151" s="110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2"/>
    </row>
    <row r="152" spans="1:22" s="52" customFormat="1" ht="25.5">
      <c r="A152" s="42" t="s">
        <v>336</v>
      </c>
      <c r="B152" s="42" t="s">
        <v>365</v>
      </c>
      <c r="C152" s="43" t="s">
        <v>288</v>
      </c>
      <c r="D152" s="44" t="s">
        <v>289</v>
      </c>
      <c r="E152" s="45">
        <v>43525</v>
      </c>
      <c r="F152" s="50" t="s">
        <v>290</v>
      </c>
      <c r="G152" s="45">
        <v>43890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7">
        <f>SUM(H152:S152)</f>
        <v>0</v>
      </c>
      <c r="U152" s="48" t="s">
        <v>314</v>
      </c>
      <c r="V152" s="44" t="s">
        <v>121</v>
      </c>
    </row>
    <row r="153" spans="1:22" ht="12.75">
      <c r="A153" s="94" t="s">
        <v>0</v>
      </c>
      <c r="B153" s="94"/>
      <c r="C153" s="94"/>
      <c r="D153" s="94"/>
      <c r="E153" s="94"/>
      <c r="F153" s="94"/>
      <c r="G153" s="94"/>
      <c r="H153" s="65">
        <f>SUM(H152)</f>
        <v>0</v>
      </c>
      <c r="I153" s="65">
        <f aca="true" t="shared" si="12" ref="I153:S153">SUM(I152)</f>
        <v>0</v>
      </c>
      <c r="J153" s="65">
        <f t="shared" si="12"/>
        <v>0</v>
      </c>
      <c r="K153" s="65">
        <f t="shared" si="12"/>
        <v>0</v>
      </c>
      <c r="L153" s="65">
        <f t="shared" si="12"/>
        <v>0</v>
      </c>
      <c r="M153" s="65">
        <f t="shared" si="12"/>
        <v>0</v>
      </c>
      <c r="N153" s="65">
        <f t="shared" si="12"/>
        <v>0</v>
      </c>
      <c r="O153" s="65">
        <f t="shared" si="12"/>
        <v>0</v>
      </c>
      <c r="P153" s="65">
        <f t="shared" si="12"/>
        <v>0</v>
      </c>
      <c r="Q153" s="65">
        <f t="shared" si="12"/>
        <v>0</v>
      </c>
      <c r="R153" s="65">
        <f t="shared" si="12"/>
        <v>0</v>
      </c>
      <c r="S153" s="65">
        <f t="shared" si="12"/>
        <v>0</v>
      </c>
      <c r="T153" s="16">
        <f>SUM(H153:S153)</f>
        <v>0</v>
      </c>
      <c r="U153" s="95"/>
      <c r="V153" s="95"/>
    </row>
    <row r="154" spans="1:22" ht="12.75">
      <c r="A154" s="24"/>
      <c r="B154" s="24"/>
      <c r="C154" s="24"/>
      <c r="D154" s="24"/>
      <c r="E154" s="24"/>
      <c r="F154" s="24"/>
      <c r="G154" s="24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6"/>
      <c r="U154" s="26"/>
      <c r="V154" s="27"/>
    </row>
    <row r="155" spans="1:22" s="21" customFormat="1" ht="15">
      <c r="A155" s="91" t="s">
        <v>395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3"/>
    </row>
    <row r="156" spans="1:22" ht="63.75">
      <c r="A156" s="11" t="s">
        <v>143</v>
      </c>
      <c r="B156" s="11" t="s">
        <v>146</v>
      </c>
      <c r="C156" s="12" t="s">
        <v>32</v>
      </c>
      <c r="D156" s="13" t="s">
        <v>95</v>
      </c>
      <c r="E156" s="14" t="s">
        <v>206</v>
      </c>
      <c r="F156" s="18" t="s">
        <v>33</v>
      </c>
      <c r="G156" s="14" t="s">
        <v>206</v>
      </c>
      <c r="H156" s="15">
        <v>6708.48</v>
      </c>
      <c r="I156" s="15">
        <v>9771.32</v>
      </c>
      <c r="J156" s="15">
        <v>9132.14</v>
      </c>
      <c r="K156" s="15">
        <v>8558.54</v>
      </c>
      <c r="L156" s="15">
        <v>4075.5</v>
      </c>
      <c r="M156" s="15">
        <v>4075.5</v>
      </c>
      <c r="N156" s="15">
        <v>4075.5</v>
      </c>
      <c r="O156" s="15">
        <v>4075.5</v>
      </c>
      <c r="P156" s="15">
        <v>5524.57</v>
      </c>
      <c r="Q156" s="15">
        <v>2683.62</v>
      </c>
      <c r="R156" s="15">
        <f>957.92+287.38</f>
        <v>1245.3</v>
      </c>
      <c r="S156" s="15">
        <v>6825.88</v>
      </c>
      <c r="T156" s="16">
        <f>SUM(H156:S156)</f>
        <v>66751.85</v>
      </c>
      <c r="U156" s="17" t="s">
        <v>307</v>
      </c>
      <c r="V156" s="13" t="s">
        <v>121</v>
      </c>
    </row>
    <row r="157" spans="1:22" ht="25.5">
      <c r="A157" s="11" t="s">
        <v>143</v>
      </c>
      <c r="B157" s="11" t="s">
        <v>145</v>
      </c>
      <c r="C157" s="12" t="s">
        <v>263</v>
      </c>
      <c r="D157" s="13" t="s">
        <v>264</v>
      </c>
      <c r="E157" s="14">
        <v>43556</v>
      </c>
      <c r="F157" s="18" t="s">
        <v>265</v>
      </c>
      <c r="G157" s="14">
        <v>43921</v>
      </c>
      <c r="H157" s="15">
        <v>700</v>
      </c>
      <c r="I157" s="15">
        <v>700</v>
      </c>
      <c r="J157" s="15">
        <v>700</v>
      </c>
      <c r="K157" s="15">
        <v>170</v>
      </c>
      <c r="L157" s="15">
        <v>170</v>
      </c>
      <c r="M157" s="15">
        <v>170</v>
      </c>
      <c r="N157" s="15">
        <v>170</v>
      </c>
      <c r="O157" s="15">
        <v>170</v>
      </c>
      <c r="P157" s="15">
        <v>170</v>
      </c>
      <c r="Q157" s="15">
        <v>170</v>
      </c>
      <c r="R157" s="15">
        <v>170</v>
      </c>
      <c r="S157" s="15">
        <v>170</v>
      </c>
      <c r="T157" s="16">
        <f>SUM(H157:S157)</f>
        <v>3630</v>
      </c>
      <c r="U157" s="17" t="s">
        <v>307</v>
      </c>
      <c r="V157" s="13" t="s">
        <v>121</v>
      </c>
    </row>
    <row r="158" spans="1:22" ht="25.5">
      <c r="A158" s="11" t="s">
        <v>143</v>
      </c>
      <c r="B158" s="22" t="s">
        <v>366</v>
      </c>
      <c r="C158" s="12" t="s">
        <v>367</v>
      </c>
      <c r="D158" s="13" t="s">
        <v>402</v>
      </c>
      <c r="E158" s="14">
        <v>44013</v>
      </c>
      <c r="F158" s="18" t="s">
        <v>403</v>
      </c>
      <c r="G158" s="14">
        <v>44377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510</v>
      </c>
      <c r="O158" s="15">
        <v>372</v>
      </c>
      <c r="P158" s="15">
        <v>382.5</v>
      </c>
      <c r="Q158" s="15">
        <v>450</v>
      </c>
      <c r="R158" s="15">
        <v>450</v>
      </c>
      <c r="S158" s="15">
        <v>432</v>
      </c>
      <c r="T158" s="16">
        <f>SUM(H158:S158)</f>
        <v>2596.5</v>
      </c>
      <c r="U158" s="17" t="s">
        <v>314</v>
      </c>
      <c r="V158" s="13" t="s">
        <v>121</v>
      </c>
    </row>
    <row r="159" spans="1:22" ht="25.5">
      <c r="A159" s="11" t="s">
        <v>143</v>
      </c>
      <c r="B159" s="22" t="s">
        <v>301</v>
      </c>
      <c r="C159" s="12" t="s">
        <v>200</v>
      </c>
      <c r="D159" s="13" t="s">
        <v>302</v>
      </c>
      <c r="E159" s="14">
        <v>43435</v>
      </c>
      <c r="F159" s="18" t="s">
        <v>201</v>
      </c>
      <c r="G159" s="14">
        <v>44165</v>
      </c>
      <c r="H159" s="15">
        <v>541.5</v>
      </c>
      <c r="I159" s="15">
        <v>601.71</v>
      </c>
      <c r="J159" s="15">
        <v>541.5</v>
      </c>
      <c r="K159" s="15">
        <v>0</v>
      </c>
      <c r="L159" s="15">
        <v>0</v>
      </c>
      <c r="M159" s="15">
        <f>541.5+60.21</f>
        <v>601.71</v>
      </c>
      <c r="N159" s="15">
        <v>120.42</v>
      </c>
      <c r="O159" s="15">
        <v>601.71</v>
      </c>
      <c r="P159" s="15">
        <f>541.5+60.21</f>
        <v>601.71</v>
      </c>
      <c r="Q159" s="15">
        <v>0</v>
      </c>
      <c r="R159" s="15">
        <f>541.5+120.42+60.21</f>
        <v>722.13</v>
      </c>
      <c r="S159" s="15">
        <f>75.95+683</f>
        <v>758.95</v>
      </c>
      <c r="T159" s="16">
        <f>SUM(H159:S159)</f>
        <v>5091.34</v>
      </c>
      <c r="U159" s="17" t="s">
        <v>314</v>
      </c>
      <c r="V159" s="13" t="s">
        <v>121</v>
      </c>
    </row>
    <row r="160" spans="1:22" ht="12.75">
      <c r="A160" s="94" t="s">
        <v>0</v>
      </c>
      <c r="B160" s="94"/>
      <c r="C160" s="94"/>
      <c r="D160" s="94"/>
      <c r="E160" s="94"/>
      <c r="F160" s="94"/>
      <c r="G160" s="94"/>
      <c r="H160" s="65">
        <f>SUM(H156:H159)</f>
        <v>7949.98</v>
      </c>
      <c r="I160" s="65">
        <f aca="true" t="shared" si="13" ref="I160:S160">SUM(I156:I159)</f>
        <v>11073.029999999999</v>
      </c>
      <c r="J160" s="65">
        <f t="shared" si="13"/>
        <v>10373.64</v>
      </c>
      <c r="K160" s="65">
        <f t="shared" si="13"/>
        <v>8728.54</v>
      </c>
      <c r="L160" s="65">
        <f t="shared" si="13"/>
        <v>4245.5</v>
      </c>
      <c r="M160" s="65">
        <f t="shared" si="13"/>
        <v>4847.21</v>
      </c>
      <c r="N160" s="65">
        <f t="shared" si="13"/>
        <v>4875.92</v>
      </c>
      <c r="O160" s="65">
        <f t="shared" si="13"/>
        <v>5219.21</v>
      </c>
      <c r="P160" s="65">
        <f t="shared" si="13"/>
        <v>6678.78</v>
      </c>
      <c r="Q160" s="65">
        <f t="shared" si="13"/>
        <v>3303.62</v>
      </c>
      <c r="R160" s="65">
        <f t="shared" si="13"/>
        <v>2587.43</v>
      </c>
      <c r="S160" s="65">
        <f t="shared" si="13"/>
        <v>8186.83</v>
      </c>
      <c r="T160" s="16">
        <f>SUM(H160:S160)</f>
        <v>78069.68999999999</v>
      </c>
      <c r="U160" s="95"/>
      <c r="V160" s="95"/>
    </row>
    <row r="161" spans="1:22" ht="12.75">
      <c r="A161" s="24"/>
      <c r="B161" s="24"/>
      <c r="C161" s="24"/>
      <c r="D161" s="24"/>
      <c r="E161" s="24"/>
      <c r="F161" s="24"/>
      <c r="G161" s="24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6"/>
      <c r="U161" s="26"/>
      <c r="V161" s="27"/>
    </row>
    <row r="162" spans="1:22" s="21" customFormat="1" ht="15">
      <c r="A162" s="91" t="s">
        <v>396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3"/>
    </row>
    <row r="163" spans="1:22" ht="25.5">
      <c r="A163" s="13" t="s">
        <v>143</v>
      </c>
      <c r="B163" s="13" t="s">
        <v>145</v>
      </c>
      <c r="C163" s="12" t="s">
        <v>132</v>
      </c>
      <c r="D163" s="13" t="s">
        <v>131</v>
      </c>
      <c r="E163" s="14">
        <v>43450</v>
      </c>
      <c r="F163" s="29" t="s">
        <v>36</v>
      </c>
      <c r="G163" s="14">
        <v>44180</v>
      </c>
      <c r="H163" s="15">
        <v>0</v>
      </c>
      <c r="I163" s="15">
        <v>0</v>
      </c>
      <c r="J163" s="15">
        <v>0</v>
      </c>
      <c r="K163" s="15">
        <v>0</v>
      </c>
      <c r="L163" s="15">
        <v>1152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1015.2</v>
      </c>
      <c r="T163" s="16">
        <f>SUM(H163:S163)</f>
        <v>2167.2</v>
      </c>
      <c r="U163" s="17" t="s">
        <v>309</v>
      </c>
      <c r="V163" s="13" t="s">
        <v>121</v>
      </c>
    </row>
    <row r="164" spans="1:22" ht="12.75">
      <c r="A164" s="97" t="s">
        <v>0</v>
      </c>
      <c r="B164" s="96"/>
      <c r="C164" s="96"/>
      <c r="D164" s="96"/>
      <c r="E164" s="96"/>
      <c r="F164" s="96"/>
      <c r="G164" s="98"/>
      <c r="H164" s="65">
        <f>SUM(H163:H163)</f>
        <v>0</v>
      </c>
      <c r="I164" s="65">
        <f aca="true" t="shared" si="14" ref="I164:S164">SUM(I163:I163)</f>
        <v>0</v>
      </c>
      <c r="J164" s="65">
        <f t="shared" si="14"/>
        <v>0</v>
      </c>
      <c r="K164" s="65">
        <f t="shared" si="14"/>
        <v>0</v>
      </c>
      <c r="L164" s="65">
        <f t="shared" si="14"/>
        <v>1152</v>
      </c>
      <c r="M164" s="65">
        <f t="shared" si="14"/>
        <v>0</v>
      </c>
      <c r="N164" s="65">
        <f t="shared" si="14"/>
        <v>0</v>
      </c>
      <c r="O164" s="65">
        <f t="shared" si="14"/>
        <v>0</v>
      </c>
      <c r="P164" s="65">
        <f t="shared" si="14"/>
        <v>0</v>
      </c>
      <c r="Q164" s="65">
        <f t="shared" si="14"/>
        <v>0</v>
      </c>
      <c r="R164" s="65">
        <f t="shared" si="14"/>
        <v>0</v>
      </c>
      <c r="S164" s="65">
        <f t="shared" si="14"/>
        <v>1015.2</v>
      </c>
      <c r="T164" s="16">
        <f>SUM(H164:S164)</f>
        <v>2167.2</v>
      </c>
      <c r="U164" s="95"/>
      <c r="V164" s="95"/>
    </row>
    <row r="165" spans="1:22" ht="12.75">
      <c r="A165" s="30"/>
      <c r="B165" s="30"/>
      <c r="C165" s="31"/>
      <c r="D165" s="28"/>
      <c r="E165" s="28"/>
      <c r="F165" s="32"/>
      <c r="G165" s="28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6"/>
      <c r="U165" s="26"/>
      <c r="V165" s="27"/>
    </row>
    <row r="166" spans="1:22" s="21" customFormat="1" ht="15">
      <c r="A166" s="91" t="s">
        <v>397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3"/>
    </row>
    <row r="167" spans="1:22" ht="25.5">
      <c r="A167" s="11" t="s">
        <v>143</v>
      </c>
      <c r="B167" s="13" t="s">
        <v>145</v>
      </c>
      <c r="C167" s="12" t="s">
        <v>178</v>
      </c>
      <c r="D167" s="13" t="s">
        <v>205</v>
      </c>
      <c r="E167" s="14">
        <v>43467</v>
      </c>
      <c r="F167" s="12" t="s">
        <v>12</v>
      </c>
      <c r="G167" s="14">
        <v>43831</v>
      </c>
      <c r="H167" s="15">
        <v>7431.99</v>
      </c>
      <c r="I167" s="15">
        <v>7594.02</v>
      </c>
      <c r="J167" s="15">
        <v>7024.22</v>
      </c>
      <c r="K167" s="15">
        <v>3879.1</v>
      </c>
      <c r="L167" s="15">
        <v>7379.74</v>
      </c>
      <c r="M167" s="15">
        <v>9113.12</v>
      </c>
      <c r="N167" s="15">
        <v>8259.96</v>
      </c>
      <c r="O167" s="15">
        <v>9037.11</v>
      </c>
      <c r="P167" s="15">
        <v>9276.69</v>
      </c>
      <c r="Q167" s="15">
        <v>8856.6</v>
      </c>
      <c r="R167" s="15">
        <v>8052.66</v>
      </c>
      <c r="S167" s="15">
        <v>6651.98</v>
      </c>
      <c r="T167" s="16">
        <f>SUM(H167:S167)</f>
        <v>92557.19</v>
      </c>
      <c r="U167" s="17" t="s">
        <v>307</v>
      </c>
      <c r="V167" s="13" t="s">
        <v>121</v>
      </c>
    </row>
    <row r="168" spans="1:22" ht="12.75">
      <c r="A168" s="97" t="s">
        <v>0</v>
      </c>
      <c r="B168" s="96"/>
      <c r="C168" s="96"/>
      <c r="D168" s="96"/>
      <c r="E168" s="96"/>
      <c r="F168" s="96"/>
      <c r="G168" s="98"/>
      <c r="H168" s="65">
        <f aca="true" t="shared" si="15" ref="H168:S168">SUM(H167:H167)</f>
        <v>7431.99</v>
      </c>
      <c r="I168" s="65">
        <f t="shared" si="15"/>
        <v>7594.02</v>
      </c>
      <c r="J168" s="65">
        <f t="shared" si="15"/>
        <v>7024.22</v>
      </c>
      <c r="K168" s="65">
        <f t="shared" si="15"/>
        <v>3879.1</v>
      </c>
      <c r="L168" s="65">
        <f t="shared" si="15"/>
        <v>7379.74</v>
      </c>
      <c r="M168" s="65">
        <f t="shared" si="15"/>
        <v>9113.12</v>
      </c>
      <c r="N168" s="65">
        <f t="shared" si="15"/>
        <v>8259.96</v>
      </c>
      <c r="O168" s="65">
        <f t="shared" si="15"/>
        <v>9037.11</v>
      </c>
      <c r="P168" s="65">
        <f t="shared" si="15"/>
        <v>9276.69</v>
      </c>
      <c r="Q168" s="65">
        <f t="shared" si="15"/>
        <v>8856.6</v>
      </c>
      <c r="R168" s="65">
        <f t="shared" si="15"/>
        <v>8052.66</v>
      </c>
      <c r="S168" s="65">
        <f t="shared" si="15"/>
        <v>6651.98</v>
      </c>
      <c r="T168" s="16">
        <f>SUM(H168:S168)</f>
        <v>92557.19</v>
      </c>
      <c r="U168" s="95"/>
      <c r="V168" s="95"/>
    </row>
    <row r="169" spans="1:22" ht="12.75">
      <c r="A169" s="30"/>
      <c r="B169" s="30"/>
      <c r="C169" s="31"/>
      <c r="D169" s="28"/>
      <c r="E169" s="28"/>
      <c r="F169" s="32"/>
      <c r="G169" s="28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6"/>
      <c r="U169" s="26"/>
      <c r="V169" s="27"/>
    </row>
    <row r="170" spans="1:22" s="21" customFormat="1" ht="15">
      <c r="A170" s="91" t="s">
        <v>398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3"/>
    </row>
    <row r="171" spans="1:22" ht="25.5">
      <c r="A171" s="11" t="s">
        <v>143</v>
      </c>
      <c r="B171" s="13" t="s">
        <v>145</v>
      </c>
      <c r="C171" s="12" t="s">
        <v>272</v>
      </c>
      <c r="D171" s="13" t="s">
        <v>273</v>
      </c>
      <c r="E171" s="14">
        <v>43617</v>
      </c>
      <c r="F171" s="12" t="s">
        <v>318</v>
      </c>
      <c r="G171" s="14">
        <v>43983</v>
      </c>
      <c r="H171" s="15">
        <v>2666.67</v>
      </c>
      <c r="I171" s="15">
        <v>2666.67</v>
      </c>
      <c r="J171" s="15">
        <v>2666.67</v>
      </c>
      <c r="K171" s="15">
        <v>2666.67</v>
      </c>
      <c r="L171" s="15">
        <v>2666.67</v>
      </c>
      <c r="M171" s="15">
        <v>2666.67</v>
      </c>
      <c r="N171" s="15">
        <v>2666.67</v>
      </c>
      <c r="O171" s="15">
        <v>2666.67</v>
      </c>
      <c r="P171" s="15">
        <v>2666.67</v>
      </c>
      <c r="Q171" s="15">
        <v>2666.67</v>
      </c>
      <c r="R171" s="15">
        <v>2666.67</v>
      </c>
      <c r="S171" s="15">
        <v>2666.67</v>
      </c>
      <c r="T171" s="16">
        <f>SUM(H171:S171)</f>
        <v>32000.039999999994</v>
      </c>
      <c r="U171" s="17" t="s">
        <v>307</v>
      </c>
      <c r="V171" s="13" t="s">
        <v>121</v>
      </c>
    </row>
    <row r="172" spans="1:22" ht="12.75">
      <c r="A172" s="94" t="s">
        <v>0</v>
      </c>
      <c r="B172" s="94"/>
      <c r="C172" s="94"/>
      <c r="D172" s="94"/>
      <c r="E172" s="94"/>
      <c r="F172" s="94"/>
      <c r="G172" s="94"/>
      <c r="H172" s="65">
        <f>SUM(H171)</f>
        <v>2666.67</v>
      </c>
      <c r="I172" s="65">
        <f aca="true" t="shared" si="16" ref="I172:S172">SUM(I171)</f>
        <v>2666.67</v>
      </c>
      <c r="J172" s="65">
        <f t="shared" si="16"/>
        <v>2666.67</v>
      </c>
      <c r="K172" s="65">
        <f t="shared" si="16"/>
        <v>2666.67</v>
      </c>
      <c r="L172" s="65">
        <f t="shared" si="16"/>
        <v>2666.67</v>
      </c>
      <c r="M172" s="65">
        <f t="shared" si="16"/>
        <v>2666.67</v>
      </c>
      <c r="N172" s="65">
        <f t="shared" si="16"/>
        <v>2666.67</v>
      </c>
      <c r="O172" s="65">
        <f t="shared" si="16"/>
        <v>2666.67</v>
      </c>
      <c r="P172" s="65">
        <f t="shared" si="16"/>
        <v>2666.67</v>
      </c>
      <c r="Q172" s="65">
        <f t="shared" si="16"/>
        <v>2666.67</v>
      </c>
      <c r="R172" s="65">
        <f t="shared" si="16"/>
        <v>2666.67</v>
      </c>
      <c r="S172" s="65">
        <f t="shared" si="16"/>
        <v>2666.67</v>
      </c>
      <c r="T172" s="16">
        <f>SUM(H172:S172)</f>
        <v>32000.039999999994</v>
      </c>
      <c r="U172" s="95"/>
      <c r="V172" s="95"/>
    </row>
    <row r="173" spans="1:22" ht="12.75">
      <c r="A173" s="66"/>
      <c r="B173" s="66"/>
      <c r="C173" s="66"/>
      <c r="D173" s="66"/>
      <c r="E173" s="66"/>
      <c r="F173" s="66"/>
      <c r="G173" s="66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6"/>
      <c r="U173" s="56"/>
      <c r="V173" s="57"/>
    </row>
    <row r="174" spans="1:22" s="21" customFormat="1" ht="15">
      <c r="A174" s="91" t="s">
        <v>399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3"/>
    </row>
    <row r="175" spans="1:22" s="52" customFormat="1" ht="25.5">
      <c r="A175" s="42" t="s">
        <v>336</v>
      </c>
      <c r="B175" s="42" t="s">
        <v>145</v>
      </c>
      <c r="C175" s="43" t="s">
        <v>287</v>
      </c>
      <c r="D175" s="44" t="s">
        <v>97</v>
      </c>
      <c r="E175" s="45">
        <v>43435</v>
      </c>
      <c r="F175" s="43" t="s">
        <v>92</v>
      </c>
      <c r="G175" s="45">
        <v>44165</v>
      </c>
      <c r="H175" s="46">
        <v>250</v>
      </c>
      <c r="I175" s="46">
        <v>250</v>
      </c>
      <c r="J175" s="46">
        <v>250</v>
      </c>
      <c r="K175" s="46">
        <v>250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7">
        <f aca="true" t="shared" si="17" ref="T175:T182">SUM(H175:S175)</f>
        <v>1000</v>
      </c>
      <c r="U175" s="48" t="s">
        <v>310</v>
      </c>
      <c r="V175" s="44" t="s">
        <v>121</v>
      </c>
    </row>
    <row r="176" spans="1:22" s="52" customFormat="1" ht="12.75">
      <c r="A176" s="42" t="s">
        <v>336</v>
      </c>
      <c r="B176" s="42" t="s">
        <v>145</v>
      </c>
      <c r="C176" s="43" t="s">
        <v>39</v>
      </c>
      <c r="D176" s="44" t="s">
        <v>96</v>
      </c>
      <c r="E176" s="45">
        <v>43435</v>
      </c>
      <c r="F176" s="43" t="s">
        <v>91</v>
      </c>
      <c r="G176" s="45">
        <v>44165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7">
        <f t="shared" si="17"/>
        <v>0</v>
      </c>
      <c r="U176" s="47" t="s">
        <v>315</v>
      </c>
      <c r="V176" s="44" t="s">
        <v>121</v>
      </c>
    </row>
    <row r="177" spans="1:22" ht="25.5">
      <c r="A177" s="11" t="s">
        <v>143</v>
      </c>
      <c r="B177" s="11" t="s">
        <v>145</v>
      </c>
      <c r="C177" s="12" t="s">
        <v>174</v>
      </c>
      <c r="D177" s="13" t="s">
        <v>130</v>
      </c>
      <c r="E177" s="14">
        <v>43435</v>
      </c>
      <c r="F177" s="12" t="s">
        <v>129</v>
      </c>
      <c r="G177" s="14">
        <v>44167</v>
      </c>
      <c r="H177" s="15">
        <v>16000</v>
      </c>
      <c r="I177" s="15">
        <v>16000</v>
      </c>
      <c r="J177" s="15">
        <v>16000</v>
      </c>
      <c r="K177" s="15">
        <v>16000</v>
      </c>
      <c r="L177" s="15">
        <v>16000</v>
      </c>
      <c r="M177" s="15">
        <v>16000</v>
      </c>
      <c r="N177" s="15">
        <v>16000</v>
      </c>
      <c r="O177" s="15">
        <v>16000</v>
      </c>
      <c r="P177" s="15">
        <v>16000</v>
      </c>
      <c r="Q177" s="15">
        <v>16000</v>
      </c>
      <c r="R177" s="15">
        <v>16000</v>
      </c>
      <c r="S177" s="15">
        <v>16000</v>
      </c>
      <c r="T177" s="16">
        <f t="shared" si="17"/>
        <v>192000</v>
      </c>
      <c r="U177" s="17" t="s">
        <v>307</v>
      </c>
      <c r="V177" s="13" t="s">
        <v>121</v>
      </c>
    </row>
    <row r="178" spans="1:22" s="52" customFormat="1" ht="25.5">
      <c r="A178" s="42" t="s">
        <v>336</v>
      </c>
      <c r="B178" s="42" t="s">
        <v>145</v>
      </c>
      <c r="C178" s="43" t="s">
        <v>368</v>
      </c>
      <c r="D178" s="44" t="s">
        <v>405</v>
      </c>
      <c r="E178" s="45">
        <v>43955</v>
      </c>
      <c r="F178" s="43"/>
      <c r="G178" s="45">
        <v>44043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945</v>
      </c>
      <c r="O178" s="46">
        <v>0</v>
      </c>
      <c r="P178" s="46"/>
      <c r="Q178" s="46">
        <v>0</v>
      </c>
      <c r="R178" s="46"/>
      <c r="S178" s="46"/>
      <c r="T178" s="47">
        <f t="shared" si="17"/>
        <v>945</v>
      </c>
      <c r="U178" s="48" t="s">
        <v>406</v>
      </c>
      <c r="V178" s="44" t="s">
        <v>121</v>
      </c>
    </row>
    <row r="179" spans="1:22" ht="25.5">
      <c r="A179" s="11" t="s">
        <v>143</v>
      </c>
      <c r="B179" s="11" t="s">
        <v>145</v>
      </c>
      <c r="C179" s="12" t="s">
        <v>202</v>
      </c>
      <c r="D179" s="13" t="s">
        <v>203</v>
      </c>
      <c r="E179" s="14">
        <v>43435</v>
      </c>
      <c r="F179" s="33" t="s">
        <v>204</v>
      </c>
      <c r="G179" s="14">
        <v>44165</v>
      </c>
      <c r="H179" s="15">
        <v>1500</v>
      </c>
      <c r="I179" s="15">
        <v>1500</v>
      </c>
      <c r="J179" s="15">
        <v>1500</v>
      </c>
      <c r="K179" s="15">
        <v>1500</v>
      </c>
      <c r="L179" s="15">
        <f>1500+250</f>
        <v>1750</v>
      </c>
      <c r="M179" s="15">
        <f>250+1500</f>
        <v>1750</v>
      </c>
      <c r="N179" s="15">
        <f>250+1500</f>
        <v>1750</v>
      </c>
      <c r="O179" s="15">
        <f>250+1500</f>
        <v>1750</v>
      </c>
      <c r="P179" s="15">
        <f>250</f>
        <v>250</v>
      </c>
      <c r="Q179" s="15">
        <v>1750</v>
      </c>
      <c r="R179" s="15">
        <v>1750</v>
      </c>
      <c r="S179" s="15">
        <v>1750</v>
      </c>
      <c r="T179" s="16">
        <f t="shared" si="17"/>
        <v>18500</v>
      </c>
      <c r="U179" s="17" t="s">
        <v>310</v>
      </c>
      <c r="V179" s="13" t="s">
        <v>121</v>
      </c>
    </row>
    <row r="180" spans="1:22" ht="25.5">
      <c r="A180" s="11" t="s">
        <v>143</v>
      </c>
      <c r="B180" s="11" t="s">
        <v>145</v>
      </c>
      <c r="C180" s="12" t="s">
        <v>374</v>
      </c>
      <c r="D180" s="13" t="s">
        <v>375</v>
      </c>
      <c r="E180" s="14">
        <v>44075</v>
      </c>
      <c r="F180" s="33" t="s">
        <v>376</v>
      </c>
      <c r="G180" s="14">
        <v>44439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10000</v>
      </c>
      <c r="Q180" s="15">
        <v>10000</v>
      </c>
      <c r="R180" s="15">
        <v>10000</v>
      </c>
      <c r="S180" s="15">
        <v>10000</v>
      </c>
      <c r="T180" s="16">
        <f t="shared" si="17"/>
        <v>40000</v>
      </c>
      <c r="U180" s="17" t="s">
        <v>310</v>
      </c>
      <c r="V180" s="13" t="s">
        <v>121</v>
      </c>
    </row>
    <row r="181" spans="1:22" ht="25.5">
      <c r="A181" s="11" t="s">
        <v>143</v>
      </c>
      <c r="B181" s="11" t="s">
        <v>145</v>
      </c>
      <c r="C181" s="12" t="s">
        <v>359</v>
      </c>
      <c r="D181" s="13" t="s">
        <v>360</v>
      </c>
      <c r="E181" s="14">
        <v>43983</v>
      </c>
      <c r="F181" s="33" t="s">
        <v>404</v>
      </c>
      <c r="G181" s="14">
        <v>44347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1850</v>
      </c>
      <c r="N181" s="15">
        <v>1850</v>
      </c>
      <c r="O181" s="15">
        <v>1850</v>
      </c>
      <c r="P181" s="15">
        <v>1850</v>
      </c>
      <c r="Q181" s="15">
        <v>1850</v>
      </c>
      <c r="R181" s="15">
        <v>1850</v>
      </c>
      <c r="S181" s="15">
        <v>1850</v>
      </c>
      <c r="T181" s="16">
        <f t="shared" si="17"/>
        <v>12950</v>
      </c>
      <c r="U181" s="17" t="s">
        <v>361</v>
      </c>
      <c r="V181" s="13" t="s">
        <v>121</v>
      </c>
    </row>
    <row r="182" spans="1:22" s="52" customFormat="1" ht="25.5">
      <c r="A182" s="42" t="s">
        <v>336</v>
      </c>
      <c r="B182" s="42" t="s">
        <v>145</v>
      </c>
      <c r="C182" s="43" t="s">
        <v>342</v>
      </c>
      <c r="D182" s="44" t="s">
        <v>333</v>
      </c>
      <c r="E182" s="45">
        <v>43815</v>
      </c>
      <c r="F182" s="43" t="s">
        <v>334</v>
      </c>
      <c r="G182" s="45">
        <v>44180</v>
      </c>
      <c r="H182" s="46">
        <v>2840</v>
      </c>
      <c r="I182" s="46">
        <v>2840</v>
      </c>
      <c r="J182" s="46">
        <v>2840</v>
      </c>
      <c r="K182" s="46">
        <v>2840</v>
      </c>
      <c r="L182" s="46">
        <v>2840</v>
      </c>
      <c r="M182" s="46">
        <v>0</v>
      </c>
      <c r="N182" s="46">
        <v>0</v>
      </c>
      <c r="O182" s="46"/>
      <c r="P182" s="46"/>
      <c r="Q182" s="46"/>
      <c r="R182" s="46"/>
      <c r="S182" s="46"/>
      <c r="T182" s="47">
        <f t="shared" si="17"/>
        <v>14200</v>
      </c>
      <c r="U182" s="48" t="s">
        <v>307</v>
      </c>
      <c r="V182" s="44" t="s">
        <v>121</v>
      </c>
    </row>
    <row r="183" spans="1:22" ht="12.75">
      <c r="A183" s="94" t="s">
        <v>0</v>
      </c>
      <c r="B183" s="94"/>
      <c r="C183" s="94"/>
      <c r="D183" s="94"/>
      <c r="E183" s="94"/>
      <c r="F183" s="94"/>
      <c r="G183" s="94"/>
      <c r="H183" s="65">
        <f>SUM(H175:H182)</f>
        <v>20590</v>
      </c>
      <c r="I183" s="65">
        <f aca="true" t="shared" si="18" ref="I183:S183">SUM(I175:I182)</f>
        <v>20590</v>
      </c>
      <c r="J183" s="65">
        <f t="shared" si="18"/>
        <v>20590</v>
      </c>
      <c r="K183" s="65">
        <f t="shared" si="18"/>
        <v>20590</v>
      </c>
      <c r="L183" s="65">
        <f t="shared" si="18"/>
        <v>20590</v>
      </c>
      <c r="M183" s="65">
        <f t="shared" si="18"/>
        <v>19600</v>
      </c>
      <c r="N183" s="65">
        <f t="shared" si="18"/>
        <v>20545</v>
      </c>
      <c r="O183" s="65">
        <f t="shared" si="18"/>
        <v>19600</v>
      </c>
      <c r="P183" s="65">
        <f t="shared" si="18"/>
        <v>28100</v>
      </c>
      <c r="Q183" s="65">
        <f t="shared" si="18"/>
        <v>29600</v>
      </c>
      <c r="R183" s="65">
        <f t="shared" si="18"/>
        <v>29600</v>
      </c>
      <c r="S183" s="65">
        <f t="shared" si="18"/>
        <v>29600</v>
      </c>
      <c r="T183" s="16">
        <f>SUM(H183:S183)</f>
        <v>279595</v>
      </c>
      <c r="U183" s="95"/>
      <c r="V183" s="95"/>
    </row>
    <row r="184" spans="1:22" ht="12.75">
      <c r="A184" s="34"/>
      <c r="B184" s="30"/>
      <c r="C184" s="31"/>
      <c r="D184" s="28"/>
      <c r="E184" s="28"/>
      <c r="F184" s="32"/>
      <c r="G184" s="28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6"/>
      <c r="U184" s="26"/>
      <c r="V184" s="28"/>
    </row>
    <row r="185" spans="1:22" s="21" customFormat="1" ht="15">
      <c r="A185" s="91" t="s">
        <v>199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3"/>
    </row>
    <row r="186" spans="1:24" ht="25.5">
      <c r="A186" s="42" t="s">
        <v>143</v>
      </c>
      <c r="B186" s="42" t="s">
        <v>145</v>
      </c>
      <c r="C186" s="43" t="s">
        <v>181</v>
      </c>
      <c r="D186" s="44" t="s">
        <v>180</v>
      </c>
      <c r="E186" s="45">
        <v>43466</v>
      </c>
      <c r="F186" s="43" t="s">
        <v>184</v>
      </c>
      <c r="G186" s="45">
        <v>43982</v>
      </c>
      <c r="H186" s="46">
        <v>2000</v>
      </c>
      <c r="I186" s="46">
        <v>2000</v>
      </c>
      <c r="J186" s="46">
        <v>2000</v>
      </c>
      <c r="K186" s="46">
        <v>2000</v>
      </c>
      <c r="L186" s="46">
        <v>2000</v>
      </c>
      <c r="M186" s="46">
        <v>2000</v>
      </c>
      <c r="N186" s="46">
        <v>2000</v>
      </c>
      <c r="O186" s="46">
        <v>2000</v>
      </c>
      <c r="P186" s="46">
        <v>2000</v>
      </c>
      <c r="Q186" s="46">
        <v>2000</v>
      </c>
      <c r="R186" s="46">
        <v>2000</v>
      </c>
      <c r="S186" s="46">
        <v>0</v>
      </c>
      <c r="T186" s="47">
        <f>SUM(H186:S186)</f>
        <v>22000</v>
      </c>
      <c r="U186" s="17" t="s">
        <v>312</v>
      </c>
      <c r="V186" s="13" t="s">
        <v>121</v>
      </c>
      <c r="X186" s="2" t="s">
        <v>427</v>
      </c>
    </row>
    <row r="187" spans="1:24" ht="25.5">
      <c r="A187" s="42" t="s">
        <v>143</v>
      </c>
      <c r="B187" s="42" t="s">
        <v>145</v>
      </c>
      <c r="C187" s="43" t="s">
        <v>183</v>
      </c>
      <c r="D187" s="44" t="s">
        <v>182</v>
      </c>
      <c r="E187" s="45">
        <v>43466</v>
      </c>
      <c r="F187" s="49" t="s">
        <v>184</v>
      </c>
      <c r="G187" s="45">
        <v>43982</v>
      </c>
      <c r="H187" s="46">
        <v>2000</v>
      </c>
      <c r="I187" s="46">
        <v>2000</v>
      </c>
      <c r="J187" s="46">
        <v>2000</v>
      </c>
      <c r="K187" s="46">
        <v>2000</v>
      </c>
      <c r="L187" s="46">
        <v>2000</v>
      </c>
      <c r="M187" s="46">
        <v>2000</v>
      </c>
      <c r="N187" s="46">
        <v>2000</v>
      </c>
      <c r="O187" s="46">
        <v>2000</v>
      </c>
      <c r="P187" s="46">
        <v>2000</v>
      </c>
      <c r="Q187" s="46">
        <v>2000</v>
      </c>
      <c r="R187" s="46">
        <v>2000</v>
      </c>
      <c r="S187" s="46">
        <v>0</v>
      </c>
      <c r="T187" s="47">
        <f>SUM(H187:S187)</f>
        <v>22000</v>
      </c>
      <c r="U187" s="17" t="s">
        <v>312</v>
      </c>
      <c r="V187" s="13" t="s">
        <v>198</v>
      </c>
      <c r="X187" s="2" t="s">
        <v>427</v>
      </c>
    </row>
    <row r="188" spans="1:22" ht="12.75">
      <c r="A188" s="94" t="s">
        <v>0</v>
      </c>
      <c r="B188" s="94"/>
      <c r="C188" s="94"/>
      <c r="D188" s="94"/>
      <c r="E188" s="94"/>
      <c r="F188" s="94"/>
      <c r="G188" s="94"/>
      <c r="H188" s="65">
        <f aca="true" t="shared" si="19" ref="H188:S188">SUM(H186:H187)</f>
        <v>4000</v>
      </c>
      <c r="I188" s="65">
        <f t="shared" si="19"/>
        <v>4000</v>
      </c>
      <c r="J188" s="65">
        <f t="shared" si="19"/>
        <v>4000</v>
      </c>
      <c r="K188" s="65">
        <f t="shared" si="19"/>
        <v>4000</v>
      </c>
      <c r="L188" s="65">
        <f t="shared" si="19"/>
        <v>4000</v>
      </c>
      <c r="M188" s="65">
        <f t="shared" si="19"/>
        <v>4000</v>
      </c>
      <c r="N188" s="65">
        <f t="shared" si="19"/>
        <v>4000</v>
      </c>
      <c r="O188" s="65">
        <f t="shared" si="19"/>
        <v>4000</v>
      </c>
      <c r="P188" s="65">
        <f t="shared" si="19"/>
        <v>4000</v>
      </c>
      <c r="Q188" s="65">
        <f t="shared" si="19"/>
        <v>4000</v>
      </c>
      <c r="R188" s="65">
        <f t="shared" si="19"/>
        <v>4000</v>
      </c>
      <c r="S188" s="65">
        <f t="shared" si="19"/>
        <v>0</v>
      </c>
      <c r="T188" s="65">
        <f>SUM(T186:T187)</f>
        <v>44000</v>
      </c>
      <c r="U188" s="95"/>
      <c r="V188" s="95"/>
    </row>
    <row r="189" spans="1:22" s="21" customFormat="1" ht="12.75">
      <c r="A189" s="35"/>
      <c r="B189" s="35"/>
      <c r="C189" s="36"/>
      <c r="D189" s="10"/>
      <c r="E189" s="10"/>
      <c r="F189" s="37"/>
      <c r="G189" s="1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0"/>
    </row>
    <row r="190" spans="1:22" s="21" customFormat="1" ht="15">
      <c r="A190" s="91" t="s">
        <v>28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3"/>
    </row>
    <row r="191" spans="1:22" ht="25.5">
      <c r="A191" s="11" t="s">
        <v>143</v>
      </c>
      <c r="B191" s="11" t="s">
        <v>145</v>
      </c>
      <c r="C191" s="12" t="s">
        <v>291</v>
      </c>
      <c r="D191" s="13" t="s">
        <v>304</v>
      </c>
      <c r="E191" s="14">
        <v>43739</v>
      </c>
      <c r="F191" s="18" t="s">
        <v>15</v>
      </c>
      <c r="G191" s="14">
        <v>45260</v>
      </c>
      <c r="H191" s="15">
        <v>1500</v>
      </c>
      <c r="I191" s="15">
        <v>1500</v>
      </c>
      <c r="J191" s="15">
        <v>1500</v>
      </c>
      <c r="K191" s="15">
        <v>1500</v>
      </c>
      <c r="L191" s="15">
        <v>1500</v>
      </c>
      <c r="M191" s="15">
        <v>1869</v>
      </c>
      <c r="N191" s="15">
        <v>1500</v>
      </c>
      <c r="O191" s="15">
        <v>1865.4</v>
      </c>
      <c r="P191" s="15">
        <v>1816.43</v>
      </c>
      <c r="Q191" s="15">
        <v>1500</v>
      </c>
      <c r="R191" s="15">
        <v>3424.09</v>
      </c>
      <c r="S191" s="15">
        <v>2007.59</v>
      </c>
      <c r="T191" s="16">
        <f>SUM(H191:S191)</f>
        <v>21482.51</v>
      </c>
      <c r="U191" s="17" t="s">
        <v>316</v>
      </c>
      <c r="V191" s="13" t="s">
        <v>121</v>
      </c>
    </row>
    <row r="192" spans="1:22" s="3" customFormat="1" ht="12.75">
      <c r="A192" s="94" t="s">
        <v>0</v>
      </c>
      <c r="B192" s="94"/>
      <c r="C192" s="94"/>
      <c r="D192" s="94"/>
      <c r="E192" s="94"/>
      <c r="F192" s="94"/>
      <c r="G192" s="94"/>
      <c r="H192" s="65">
        <f aca="true" t="shared" si="20" ref="H192:S192">SUM(H191:H191)</f>
        <v>1500</v>
      </c>
      <c r="I192" s="65">
        <f t="shared" si="20"/>
        <v>1500</v>
      </c>
      <c r="J192" s="65">
        <f t="shared" si="20"/>
        <v>1500</v>
      </c>
      <c r="K192" s="65">
        <f t="shared" si="20"/>
        <v>1500</v>
      </c>
      <c r="L192" s="65">
        <f t="shared" si="20"/>
        <v>1500</v>
      </c>
      <c r="M192" s="65">
        <f t="shared" si="20"/>
        <v>1869</v>
      </c>
      <c r="N192" s="65">
        <f t="shared" si="20"/>
        <v>1500</v>
      </c>
      <c r="O192" s="65">
        <f t="shared" si="20"/>
        <v>1865.4</v>
      </c>
      <c r="P192" s="65">
        <f t="shared" si="20"/>
        <v>1816.43</v>
      </c>
      <c r="Q192" s="65">
        <f t="shared" si="20"/>
        <v>1500</v>
      </c>
      <c r="R192" s="65">
        <f t="shared" si="20"/>
        <v>3424.09</v>
      </c>
      <c r="S192" s="65">
        <f t="shared" si="20"/>
        <v>2007.59</v>
      </c>
      <c r="T192" s="16">
        <f>SUM(H192:S192)</f>
        <v>21482.51</v>
      </c>
      <c r="U192" s="95"/>
      <c r="V192" s="95"/>
    </row>
    <row r="193" spans="1:22" ht="12.75">
      <c r="A193" s="30"/>
      <c r="B193" s="30"/>
      <c r="C193" s="31"/>
      <c r="D193" s="28"/>
      <c r="E193" s="28"/>
      <c r="F193" s="32"/>
      <c r="G193" s="28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6"/>
      <c r="U193" s="26"/>
      <c r="V193" s="28"/>
    </row>
    <row r="194" spans="1:22" s="21" customFormat="1" ht="15">
      <c r="A194" s="91" t="s">
        <v>400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3"/>
    </row>
    <row r="195" spans="1:22" s="52" customFormat="1" ht="25.5">
      <c r="A195" s="42" t="s">
        <v>336</v>
      </c>
      <c r="B195" s="42" t="s">
        <v>145</v>
      </c>
      <c r="C195" s="43" t="s">
        <v>133</v>
      </c>
      <c r="D195" s="44" t="s">
        <v>134</v>
      </c>
      <c r="E195" s="45">
        <v>43435</v>
      </c>
      <c r="F195" s="49" t="s">
        <v>14</v>
      </c>
      <c r="G195" s="45">
        <v>44165</v>
      </c>
      <c r="H195" s="46">
        <v>11319.73</v>
      </c>
      <c r="I195" s="46">
        <v>12488.01</v>
      </c>
      <c r="J195" s="46">
        <v>13302.26</v>
      </c>
      <c r="K195" s="46">
        <v>11834.19</v>
      </c>
      <c r="L195" s="46">
        <v>12284.39</v>
      </c>
      <c r="M195" s="46">
        <v>11518.36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7">
        <f>SUM(H195:S195)</f>
        <v>72746.94</v>
      </c>
      <c r="U195" s="48" t="s">
        <v>317</v>
      </c>
      <c r="V195" s="44" t="s">
        <v>121</v>
      </c>
    </row>
    <row r="196" spans="1:22" ht="12.75">
      <c r="A196" s="11"/>
      <c r="B196" s="11"/>
      <c r="C196" s="12" t="s">
        <v>362</v>
      </c>
      <c r="D196" s="13" t="s">
        <v>363</v>
      </c>
      <c r="E196" s="14"/>
      <c r="F196" s="18" t="s">
        <v>14</v>
      </c>
      <c r="G196" s="14"/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4404.5</v>
      </c>
      <c r="N196" s="15">
        <v>6583.72</v>
      </c>
      <c r="O196" s="15">
        <v>7321.4</v>
      </c>
      <c r="P196" s="15">
        <v>7178.42</v>
      </c>
      <c r="Q196" s="15">
        <v>7325.38</v>
      </c>
      <c r="R196" s="15">
        <v>8049.74</v>
      </c>
      <c r="S196" s="15">
        <v>6829.94</v>
      </c>
      <c r="T196" s="16">
        <f>SUM(H196:S196)</f>
        <v>47693.1</v>
      </c>
      <c r="U196" s="17"/>
      <c r="V196" s="13" t="s">
        <v>121</v>
      </c>
    </row>
    <row r="197" spans="1:22" ht="12.75">
      <c r="A197" s="94" t="s">
        <v>0</v>
      </c>
      <c r="B197" s="94"/>
      <c r="C197" s="94"/>
      <c r="D197" s="94"/>
      <c r="E197" s="94"/>
      <c r="F197" s="94"/>
      <c r="G197" s="94"/>
      <c r="H197" s="65">
        <f>SUM(H195:H196)</f>
        <v>11319.73</v>
      </c>
      <c r="I197" s="65">
        <f aca="true" t="shared" si="21" ref="I197:T197">SUM(I195:I196)</f>
        <v>12488.01</v>
      </c>
      <c r="J197" s="65">
        <f t="shared" si="21"/>
        <v>13302.26</v>
      </c>
      <c r="K197" s="65">
        <f t="shared" si="21"/>
        <v>11834.19</v>
      </c>
      <c r="L197" s="65">
        <f t="shared" si="21"/>
        <v>12284.39</v>
      </c>
      <c r="M197" s="65">
        <f t="shared" si="21"/>
        <v>15922.86</v>
      </c>
      <c r="N197" s="65">
        <f t="shared" si="21"/>
        <v>6583.72</v>
      </c>
      <c r="O197" s="65">
        <f t="shared" si="21"/>
        <v>7321.4</v>
      </c>
      <c r="P197" s="65">
        <f t="shared" si="21"/>
        <v>7178.42</v>
      </c>
      <c r="Q197" s="65">
        <f t="shared" si="21"/>
        <v>7325.38</v>
      </c>
      <c r="R197" s="65">
        <f t="shared" si="21"/>
        <v>8049.74</v>
      </c>
      <c r="S197" s="65">
        <f t="shared" si="21"/>
        <v>6829.94</v>
      </c>
      <c r="T197" s="65">
        <f t="shared" si="21"/>
        <v>120440.04000000001</v>
      </c>
      <c r="U197" s="95"/>
      <c r="V197" s="95"/>
    </row>
    <row r="198" spans="1:22" s="37" customFormat="1" ht="12.75">
      <c r="A198" s="38"/>
      <c r="B198" s="38"/>
      <c r="C198" s="36"/>
      <c r="D198" s="10"/>
      <c r="E198" s="10"/>
      <c r="G198" s="10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0"/>
      <c r="U198" s="20"/>
      <c r="V198" s="10"/>
    </row>
    <row r="199" spans="1:22" s="21" customFormat="1" ht="15">
      <c r="A199" s="91" t="s">
        <v>401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3"/>
    </row>
    <row r="200" spans="1:22" s="52" customFormat="1" ht="25.5">
      <c r="A200" s="42" t="s">
        <v>336</v>
      </c>
      <c r="B200" s="42" t="s">
        <v>145</v>
      </c>
      <c r="C200" s="43" t="s">
        <v>170</v>
      </c>
      <c r="D200" s="44" t="s">
        <v>171</v>
      </c>
      <c r="E200" s="45">
        <v>43435</v>
      </c>
      <c r="F200" s="50" t="s">
        <v>305</v>
      </c>
      <c r="G200" s="45">
        <v>44136</v>
      </c>
      <c r="H200" s="46">
        <v>2800</v>
      </c>
      <c r="I200" s="46">
        <v>2800</v>
      </c>
      <c r="J200" s="46">
        <v>2800</v>
      </c>
      <c r="K200" s="46">
        <v>2800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7">
        <f>SUM(H200:S200)</f>
        <v>11200</v>
      </c>
      <c r="U200" s="48" t="s">
        <v>307</v>
      </c>
      <c r="V200" s="44" t="s">
        <v>121</v>
      </c>
    </row>
    <row r="201" spans="1:24" ht="25.5">
      <c r="A201" s="42" t="s">
        <v>336</v>
      </c>
      <c r="B201" s="42" t="s">
        <v>145</v>
      </c>
      <c r="C201" s="43" t="s">
        <v>274</v>
      </c>
      <c r="D201" s="44" t="s">
        <v>275</v>
      </c>
      <c r="E201" s="45"/>
      <c r="F201" s="50" t="s">
        <v>364</v>
      </c>
      <c r="G201" s="45"/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27450</v>
      </c>
      <c r="N201" s="46">
        <v>14700</v>
      </c>
      <c r="O201" s="46">
        <v>14700</v>
      </c>
      <c r="P201" s="46">
        <v>22950</v>
      </c>
      <c r="Q201" s="46">
        <v>30300</v>
      </c>
      <c r="R201" s="46">
        <v>14400</v>
      </c>
      <c r="S201" s="46">
        <v>0</v>
      </c>
      <c r="T201" s="47">
        <f>SUM(H201:S201)</f>
        <v>124500</v>
      </c>
      <c r="U201" s="17" t="s">
        <v>307</v>
      </c>
      <c r="V201" s="13" t="s">
        <v>121</v>
      </c>
      <c r="X201" s="2" t="s">
        <v>427</v>
      </c>
    </row>
    <row r="202" spans="1:22" ht="12.75">
      <c r="A202" s="94" t="s">
        <v>0</v>
      </c>
      <c r="B202" s="94"/>
      <c r="C202" s="94"/>
      <c r="D202" s="94"/>
      <c r="E202" s="94"/>
      <c r="F202" s="94"/>
      <c r="G202" s="94"/>
      <c r="H202" s="65">
        <f>SUM(H200:H201)</f>
        <v>2800</v>
      </c>
      <c r="I202" s="65">
        <f aca="true" t="shared" si="22" ref="I202:T202">SUM(I200:I201)</f>
        <v>2800</v>
      </c>
      <c r="J202" s="65">
        <f t="shared" si="22"/>
        <v>2800</v>
      </c>
      <c r="K202" s="65">
        <f t="shared" si="22"/>
        <v>2800</v>
      </c>
      <c r="L202" s="65">
        <f t="shared" si="22"/>
        <v>0</v>
      </c>
      <c r="M202" s="65">
        <f t="shared" si="22"/>
        <v>27450</v>
      </c>
      <c r="N202" s="65">
        <f t="shared" si="22"/>
        <v>14700</v>
      </c>
      <c r="O202" s="65">
        <f t="shared" si="22"/>
        <v>14700</v>
      </c>
      <c r="P202" s="65">
        <f t="shared" si="22"/>
        <v>22950</v>
      </c>
      <c r="Q202" s="65">
        <f t="shared" si="22"/>
        <v>30300</v>
      </c>
      <c r="R202" s="65">
        <f t="shared" si="22"/>
        <v>14400</v>
      </c>
      <c r="S202" s="65">
        <f t="shared" si="22"/>
        <v>0</v>
      </c>
      <c r="T202" s="65">
        <f t="shared" si="22"/>
        <v>135700</v>
      </c>
      <c r="U202" s="95"/>
      <c r="V202" s="95"/>
    </row>
    <row r="203" spans="1:22" s="37" customFormat="1" ht="12.75">
      <c r="A203" s="38"/>
      <c r="B203" s="38"/>
      <c r="C203" s="36"/>
      <c r="D203" s="10"/>
      <c r="E203" s="10"/>
      <c r="G203" s="10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  <c r="U203" s="20"/>
      <c r="V203" s="10"/>
    </row>
    <row r="204" spans="1:22" ht="12.75">
      <c r="A204" s="94" t="s">
        <v>5</v>
      </c>
      <c r="B204" s="94"/>
      <c r="C204" s="94"/>
      <c r="D204" s="94"/>
      <c r="E204" s="94"/>
      <c r="F204" s="94"/>
      <c r="G204" s="94"/>
      <c r="H204" s="65">
        <f aca="true" t="shared" si="23" ref="H204:S204">H22+H26+H119+H124+H129+H135+H143+H149+H153+H160+H164+H168+H172+H183+H188+H192+H197+H202</f>
        <v>915005.3300000001</v>
      </c>
      <c r="I204" s="65">
        <f t="shared" si="23"/>
        <v>915178.2300000001</v>
      </c>
      <c r="J204" s="65">
        <f t="shared" si="23"/>
        <v>857885.8800000001</v>
      </c>
      <c r="K204" s="65">
        <f t="shared" si="23"/>
        <v>676063.45</v>
      </c>
      <c r="L204" s="65">
        <f t="shared" si="23"/>
        <v>861883.3</v>
      </c>
      <c r="M204" s="65">
        <f t="shared" si="23"/>
        <v>1158914.4300000002</v>
      </c>
      <c r="N204" s="65">
        <f t="shared" si="23"/>
        <v>1008970.06</v>
      </c>
      <c r="O204" s="65">
        <f t="shared" si="23"/>
        <v>1058419.9700000002</v>
      </c>
      <c r="P204" s="65">
        <f t="shared" si="23"/>
        <v>1124786.7799999998</v>
      </c>
      <c r="Q204" s="65">
        <f t="shared" si="23"/>
        <v>1159857.13</v>
      </c>
      <c r="R204" s="65">
        <f t="shared" si="23"/>
        <v>1044726.36</v>
      </c>
      <c r="S204" s="65">
        <f t="shared" si="23"/>
        <v>922328.8299999997</v>
      </c>
      <c r="T204" s="65">
        <f>T22+T26+T119+T124+T129+T135+T143+T149+T153+T160+T164+T168+T172+T183+T188+T192+T197+T202</f>
        <v>11704019.749999996</v>
      </c>
      <c r="U204" s="95"/>
      <c r="V204" s="95"/>
    </row>
    <row r="205" spans="8:21" ht="12.7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5:7" ht="12.75">
      <c r="E206" s="2"/>
      <c r="G206" s="2"/>
    </row>
    <row r="207" spans="1:22" ht="12.75">
      <c r="A207" s="96"/>
      <c r="B207" s="96"/>
      <c r="C207" s="96"/>
      <c r="D207" s="96"/>
      <c r="E207" s="96"/>
      <c r="F207" s="96"/>
      <c r="G207" s="96"/>
      <c r="H207" s="96"/>
      <c r="I207" s="9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5">
        <f>T204</f>
        <v>11704019.749999996</v>
      </c>
      <c r="U207" s="108"/>
      <c r="V207" s="109"/>
    </row>
    <row r="208" spans="5:7" ht="12.75">
      <c r="E208" s="2"/>
      <c r="G208" s="2"/>
    </row>
    <row r="209" spans="5:7" ht="12.75">
      <c r="E209" s="2"/>
      <c r="G209" s="2"/>
    </row>
    <row r="210" spans="5:7" ht="12.75">
      <c r="E210" s="2"/>
      <c r="G210" s="2"/>
    </row>
    <row r="211" spans="5:21" ht="12.75">
      <c r="E211" s="2"/>
      <c r="G211" s="2"/>
      <c r="T211" s="51"/>
      <c r="U211" s="51"/>
    </row>
    <row r="212" spans="1:22" ht="15" customHeight="1">
      <c r="A212" s="100" t="s">
        <v>319</v>
      </c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</row>
    <row r="213" spans="1:22" ht="15" customHeight="1">
      <c r="A213" s="102" t="s">
        <v>320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</row>
    <row r="214" ht="12.75">
      <c r="C214" s="2"/>
    </row>
    <row r="221" ht="12.75">
      <c r="L221" s="39"/>
    </row>
  </sheetData>
  <sheetProtection/>
  <mergeCells count="83">
    <mergeCell ref="A204:G204"/>
    <mergeCell ref="U204:V204"/>
    <mergeCell ref="A207:I207"/>
    <mergeCell ref="U207:V207"/>
    <mergeCell ref="A212:V212"/>
    <mergeCell ref="A213:V213"/>
    <mergeCell ref="A194:V194"/>
    <mergeCell ref="A197:G197"/>
    <mergeCell ref="U197:V197"/>
    <mergeCell ref="A199:V199"/>
    <mergeCell ref="A202:G202"/>
    <mergeCell ref="U202:V202"/>
    <mergeCell ref="A185:V185"/>
    <mergeCell ref="A188:G188"/>
    <mergeCell ref="U188:V188"/>
    <mergeCell ref="A190:V190"/>
    <mergeCell ref="A192:G192"/>
    <mergeCell ref="U192:V192"/>
    <mergeCell ref="A170:V170"/>
    <mergeCell ref="A172:G172"/>
    <mergeCell ref="U172:V172"/>
    <mergeCell ref="A174:V174"/>
    <mergeCell ref="A183:G183"/>
    <mergeCell ref="U183:V183"/>
    <mergeCell ref="A162:V162"/>
    <mergeCell ref="A164:G164"/>
    <mergeCell ref="U164:V164"/>
    <mergeCell ref="A166:V166"/>
    <mergeCell ref="A168:G168"/>
    <mergeCell ref="U168:V168"/>
    <mergeCell ref="A151:V151"/>
    <mergeCell ref="A153:G153"/>
    <mergeCell ref="U153:V153"/>
    <mergeCell ref="A155:V155"/>
    <mergeCell ref="A160:G160"/>
    <mergeCell ref="U160:V160"/>
    <mergeCell ref="A140:V140"/>
    <mergeCell ref="A143:G143"/>
    <mergeCell ref="U143:V143"/>
    <mergeCell ref="A145:V145"/>
    <mergeCell ref="A149:G149"/>
    <mergeCell ref="U149:V149"/>
    <mergeCell ref="A127:V127"/>
    <mergeCell ref="A129:G129"/>
    <mergeCell ref="U129:V129"/>
    <mergeCell ref="A132:V132"/>
    <mergeCell ref="A135:G135"/>
    <mergeCell ref="U135:V135"/>
    <mergeCell ref="A28:V28"/>
    <mergeCell ref="A119:G119"/>
    <mergeCell ref="U119:V119"/>
    <mergeCell ref="A121:V121"/>
    <mergeCell ref="A124:G124"/>
    <mergeCell ref="U124:V124"/>
    <mergeCell ref="V10:V11"/>
    <mergeCell ref="A13:V13"/>
    <mergeCell ref="A22:G22"/>
    <mergeCell ref="U22:V22"/>
    <mergeCell ref="A24:V24"/>
    <mergeCell ref="A26:G26"/>
    <mergeCell ref="U26:V26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C2:T2"/>
    <mergeCell ref="A8:V8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Alessandro Menezes</cp:lastModifiedBy>
  <cp:lastPrinted>2022-04-12T18:41:42Z</cp:lastPrinted>
  <dcterms:created xsi:type="dcterms:W3CDTF">2011-09-02T13:51:41Z</dcterms:created>
  <dcterms:modified xsi:type="dcterms:W3CDTF">2022-04-29T15:08:10Z</dcterms:modified>
  <cp:category/>
  <cp:version/>
  <cp:contentType/>
  <cp:contentStatus/>
</cp:coreProperties>
</file>