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tabRatio="538" activeTab="0"/>
  </bookViews>
  <sheets>
    <sheet name="contratos 2022" sheetId="1" r:id="rId1"/>
    <sheet name="contratos 2020 (2)" sheetId="2" state="hidden" r:id="rId2"/>
    <sheet name="Plan1" sheetId="3" r:id="rId3"/>
  </sheets>
  <definedNames/>
  <calcPr fullCalcOnLoad="1"/>
</workbook>
</file>

<file path=xl/comments1.xml><?xml version="1.0" encoding="utf-8"?>
<comments xmlns="http://schemas.openxmlformats.org/spreadsheetml/2006/main">
  <authors>
    <author>Alessandro Menezes</author>
  </authors>
  <commentList>
    <comment ref="G15" authorId="0">
      <text>
        <r>
          <rPr>
            <b/>
            <sz val="9"/>
            <rFont val="Segoe UI"/>
            <family val="2"/>
          </rPr>
          <t>Alessandro Menezes:</t>
        </r>
        <r>
          <rPr>
            <sz val="9"/>
            <rFont val="Segoe UI"/>
            <family val="2"/>
          </rPr>
          <t xml:space="preserve">
contrato novo</t>
        </r>
      </text>
    </comment>
    <comment ref="G129" authorId="0">
      <text>
        <r>
          <rPr>
            <b/>
            <sz val="9"/>
            <rFont val="Segoe UI"/>
            <family val="2"/>
          </rPr>
          <t>Alessandro Menezes:</t>
        </r>
        <r>
          <rPr>
            <sz val="9"/>
            <rFont val="Segoe UI"/>
            <family val="2"/>
          </rPr>
          <t xml:space="preserve">
verificar o aumento</t>
        </r>
      </text>
    </comment>
  </commentList>
</comments>
</file>

<file path=xl/comments2.xml><?xml version="1.0" encoding="utf-8"?>
<comments xmlns="http://schemas.openxmlformats.org/spreadsheetml/2006/main">
  <authors>
    <author>Alessandro</author>
  </authors>
  <commentList>
    <comment ref="T156" authorId="0">
      <text>
        <r>
          <rPr>
            <b/>
            <sz val="8"/>
            <rFont val="Tahoma"/>
            <family val="2"/>
          </rPr>
          <t>Alessandro:</t>
        </r>
        <r>
          <rPr>
            <sz val="8"/>
            <rFont val="Tahoma"/>
            <family val="2"/>
          </rPr>
          <t xml:space="preserve">
68406 e 68683</t>
        </r>
      </text>
    </comment>
  </commentList>
</comments>
</file>

<file path=xl/sharedStrings.xml><?xml version="1.0" encoding="utf-8"?>
<sst xmlns="http://schemas.openxmlformats.org/spreadsheetml/2006/main" count="1836" uniqueCount="507">
  <si>
    <t>Total</t>
  </si>
  <si>
    <t>FEVEREIRO</t>
  </si>
  <si>
    <t>JANEIRO</t>
  </si>
  <si>
    <t>TOTAL</t>
  </si>
  <si>
    <t>Elevadores Atlas Schindler S/A</t>
  </si>
  <si>
    <t>Total Geral</t>
  </si>
  <si>
    <t>Nome do Fornecedor</t>
  </si>
  <si>
    <t>Objeto do Contrato</t>
  </si>
  <si>
    <t>N° do CPF/CNPJ</t>
  </si>
  <si>
    <t>controlador de acesso/porteiro</t>
  </si>
  <si>
    <t>Auditoria Contábil</t>
  </si>
  <si>
    <t>Manutenção preventiva e corretiva para elevadores</t>
  </si>
  <si>
    <t>lavagem e desinfecção de roupas</t>
  </si>
  <si>
    <t>Serviços Laboratoriais</t>
  </si>
  <si>
    <t>Despesas com Reprodução de Documentos</t>
  </si>
  <si>
    <t>Despesas com Coleta de Lixo Hospitalar</t>
  </si>
  <si>
    <t>MARÇO</t>
  </si>
  <si>
    <t>ABRIL</t>
  </si>
  <si>
    <t>MAIO</t>
  </si>
  <si>
    <t>JUNHO</t>
  </si>
  <si>
    <t>JULHO</t>
  </si>
  <si>
    <t>05.942.423/0001-44</t>
  </si>
  <si>
    <t>10.613.946/0001-87</t>
  </si>
  <si>
    <t>AGOSTO</t>
  </si>
  <si>
    <t>SETEMBRO</t>
  </si>
  <si>
    <t>OUTUBRO</t>
  </si>
  <si>
    <t>NOVEMBRO</t>
  </si>
  <si>
    <t>DEZEMBRO</t>
  </si>
  <si>
    <t>Serviços de Coleta de Lixo Hospitalar</t>
  </si>
  <si>
    <t>CS  Soluções em Software de Gestão Empresarial Ltda</t>
  </si>
  <si>
    <t>Software da Folha de pagamento</t>
  </si>
  <si>
    <t>Software do Ativo Imobilizado (Patrimonio)</t>
  </si>
  <si>
    <t>Fundação Mirim de Araçatuba</t>
  </si>
  <si>
    <t>Convênio (Trabalho de menor aprendiz)</t>
  </si>
  <si>
    <t>Tele-monitoramento de sistema de segurança</t>
  </si>
  <si>
    <t>Analises fisico quimicas e bacteriológicas.</t>
  </si>
  <si>
    <t>Serviços de dosimetria de radiação ionizante e concessão de 6 dosímetros</t>
  </si>
  <si>
    <t>Arri &amp; Santos Portaria e Limpeza Ltda ME</t>
  </si>
  <si>
    <t>Suporte e Monitoramento Mensal dos Servidores</t>
  </si>
  <si>
    <t>Ecotel Assistência e Serviços Ltda</t>
  </si>
  <si>
    <t>01.958.002/0001-50</t>
  </si>
  <si>
    <t>00.028.986/0001-08</t>
  </si>
  <si>
    <t>59.768.192/0001-23</t>
  </si>
  <si>
    <t>19.085.606/0001-03</t>
  </si>
  <si>
    <t>12.287.457/0001-08</t>
  </si>
  <si>
    <t>06.251.828/0001-07</t>
  </si>
  <si>
    <t>15.780.199/0001-95</t>
  </si>
  <si>
    <t>08.718.742/0001-69</t>
  </si>
  <si>
    <t>14.254.860/0001-66</t>
  </si>
  <si>
    <t>18.147.676/0001-78</t>
  </si>
  <si>
    <t>12.391.081/0001-87</t>
  </si>
  <si>
    <t>11.392.447/0001-70</t>
  </si>
  <si>
    <t>12.137.244/0001-08</t>
  </si>
  <si>
    <t>10.565.316/0001-84</t>
  </si>
  <si>
    <t>03.286.898/0001-02</t>
  </si>
  <si>
    <t>51.106.110/0001-73</t>
  </si>
  <si>
    <t>12.979.817/0001-32</t>
  </si>
  <si>
    <t>01.678.371/0001-90</t>
  </si>
  <si>
    <t>20.676.103/0001-83</t>
  </si>
  <si>
    <t>06.020.058/0001-83</t>
  </si>
  <si>
    <t>12.810.962/0001-95</t>
  </si>
  <si>
    <t>19.849.218/0001-43</t>
  </si>
  <si>
    <t>02.001.383/0001-48</t>
  </si>
  <si>
    <t>13.386.317/0001-50</t>
  </si>
  <si>
    <t>13.500.316/0001-94</t>
  </si>
  <si>
    <t>18.331.474/0001-81</t>
  </si>
  <si>
    <t>08.764.594/0001-19</t>
  </si>
  <si>
    <t>11.007.451/0001-77</t>
  </si>
  <si>
    <t>12.160.809/0001-60</t>
  </si>
  <si>
    <t xml:space="preserve">Consultas de Cardiologia, Ecocardiograma, Eletrocardiograma, Ergometria, Holter e Mapa </t>
  </si>
  <si>
    <t>Ultrassonografias</t>
  </si>
  <si>
    <t>Anestesiologia</t>
  </si>
  <si>
    <t>Consultas de Alergologia</t>
  </si>
  <si>
    <t>Consultas de Ortopedia</t>
  </si>
  <si>
    <t>Consultas de Cirurgia Vascular e Tratamento Cirúrgico de Varizes (Esclero)</t>
  </si>
  <si>
    <t>Consulta de Ortopedia</t>
  </si>
  <si>
    <t>Consultas de Urologia</t>
  </si>
  <si>
    <t>Consultas de Cirurgia Vascular e Exames de Doppler, Tratamento Cirúrgico de Varizes (Escleroterapia)</t>
  </si>
  <si>
    <t>Radiologia e Diagnósticos por Imagem (Radiologia Geral e Especializada, Mamografia e Densitometria Óssea); Supervisão Médica (Prescrição de Meio de Contraste)­ para Ressonância Magnética,</t>
  </si>
  <si>
    <t>Consultas de Dermatologia, Pequena Cirurgia</t>
  </si>
  <si>
    <t>Consultas de Neurologia Infantil e Exames de Eletroencefalograma</t>
  </si>
  <si>
    <t>Anatomopatologia e Citopatologia</t>
  </si>
  <si>
    <t>Consultas de Endocrinologia</t>
  </si>
  <si>
    <t>Cirurgia Geral (Avaliação de Pequenas Cirurgias), Cirurgia Plástica, Pequena Cirurgia</t>
  </si>
  <si>
    <t xml:space="preserve">Consultas de Cardiologia, Ecocardiograma, Eletrocardiograma, Ergometria, Holter e Mapa e Oftalmologia, Exame de Retinografia </t>
  </si>
  <si>
    <t>Consultas de Endocrinologia e Endocrinologia Infantil</t>
  </si>
  <si>
    <t>Avaliação de Pequena Cirurgia- Síndrome de Túnel do Carpo e Cirurgia de Síndrome de Túnel do Carpo</t>
  </si>
  <si>
    <t>Consulta de Pneumologia e Exames de Espirometria</t>
  </si>
  <si>
    <t>Consultas de Cirurgia Vascular</t>
  </si>
  <si>
    <t>Consultas dee Gastroclinica, Hepatologia, Endoscopia Digestiva Alta e Colonocospia</t>
  </si>
  <si>
    <t>Consultas de Hematologia</t>
  </si>
  <si>
    <t>Revisão de Contas de Telefônia Fixa e Celular</t>
  </si>
  <si>
    <t>Taxa Mensal Suporte Técnico em Internet</t>
  </si>
  <si>
    <t>Hidroquimica Lab. Serv. De Controle de Qual. Aguas Ltda</t>
  </si>
  <si>
    <t>Vigência do Contrato</t>
  </si>
  <si>
    <t>47.746.532/0001-36</t>
  </si>
  <si>
    <t>10.859.989/0001-47</t>
  </si>
  <si>
    <t>21.035.341/0001-72</t>
  </si>
  <si>
    <t>20.861.526/0001-73</t>
  </si>
  <si>
    <t>12.350.126/0001-75</t>
  </si>
  <si>
    <t>17.259.872/0001-71</t>
  </si>
  <si>
    <t>17.463.952/0001-44</t>
  </si>
  <si>
    <t>25.462.640/0001-44</t>
  </si>
  <si>
    <t>Software da Programa de Audiometria</t>
  </si>
  <si>
    <t>Winaudio Desenvolvimento de Programas Ltda - ME</t>
  </si>
  <si>
    <t>24.623.190/0001-61</t>
  </si>
  <si>
    <t>21.318.188/0001-90</t>
  </si>
  <si>
    <t>03.869.620/0001-50</t>
  </si>
  <si>
    <t>10.883.685/0001-15</t>
  </si>
  <si>
    <t>21.111.049/0001-91</t>
  </si>
  <si>
    <t>Exame de Eletroneuromiografia</t>
  </si>
  <si>
    <t>Consulta de Reumatologia</t>
  </si>
  <si>
    <t>Consulta de Endocrinologia</t>
  </si>
  <si>
    <t>Consulta de Urologia</t>
  </si>
  <si>
    <t>Consulta de Reumatolgia</t>
  </si>
  <si>
    <t>Consulta de Alergologia</t>
  </si>
  <si>
    <t>Controle de Infecção Ambulatorial</t>
  </si>
  <si>
    <t>Consulta de Dermatologia</t>
  </si>
  <si>
    <t>Unilab Laboratório de Analises Clinicas de Lins</t>
  </si>
  <si>
    <t>18.633.200/0001-47</t>
  </si>
  <si>
    <t>Pendências</t>
  </si>
  <si>
    <t>Nada Consta</t>
  </si>
  <si>
    <t>Soft Line Soluções em Sistemas Contábeis Ltda EPP</t>
  </si>
  <si>
    <t>15.044.976/0001-33</t>
  </si>
  <si>
    <t xml:space="preserve">Blueit Serviços Profissionais Tecnologia Informação Ltda </t>
  </si>
  <si>
    <t>27.663.114/0001-78</t>
  </si>
  <si>
    <t>26.824.364/0001-80</t>
  </si>
  <si>
    <t>26.848.238/0001-65</t>
  </si>
  <si>
    <t>09.661.614/0001-99</t>
  </si>
  <si>
    <t>Serviço de digitalização de Prontuários Pacientes</t>
  </si>
  <si>
    <t>24.461.229/0001-91</t>
  </si>
  <si>
    <t>50.429.810/0001-36</t>
  </si>
  <si>
    <t>Sapra Landauer Serv. de Assessoria e Prot. Radiologica</t>
  </si>
  <si>
    <t>O.M.I. Comércio e Manutenção de Equipamentos de Informátiva Ltda ME</t>
  </si>
  <si>
    <t>08.517.361/0001-11</t>
  </si>
  <si>
    <t>Consulta de Infecctologia</t>
  </si>
  <si>
    <t>Clinica Sabauna Ltda ME</t>
  </si>
  <si>
    <t>11.502.668/0001-53</t>
  </si>
  <si>
    <t>Consulta Ginecologia e USG</t>
  </si>
  <si>
    <t>Consulta de Otorrinolaringologia</t>
  </si>
  <si>
    <t>18.358.228/0001-13</t>
  </si>
  <si>
    <t>Status do</t>
  </si>
  <si>
    <t>Contrato</t>
  </si>
  <si>
    <t>Ativo</t>
  </si>
  <si>
    <t>Tipo</t>
  </si>
  <si>
    <t>Prestação de Serviço</t>
  </si>
  <si>
    <t>Aprendizagem</t>
  </si>
  <si>
    <t>09.280.138/0001-66</t>
  </si>
  <si>
    <t>Consultas de Cardiologia e Pneumologia</t>
  </si>
  <si>
    <t>29.483.426/0001-25</t>
  </si>
  <si>
    <t>Consultas de Otorrinolaringologia</t>
  </si>
  <si>
    <t>Consultas de Otorrinolaringologia, Audiometria Impedanciometria, Nasolaringofibroscopia e Otoneurologia</t>
  </si>
  <si>
    <t>Consulta de Oftalmologia, Tonometria, Campimetria, Mapeamento de Retina, Ultrassom Ocular, Cirurgia Oftalmológica</t>
  </si>
  <si>
    <t>13.927.859/0001-92</t>
  </si>
  <si>
    <t>Consultas de Gastroclinica e Cirurgia Geral</t>
  </si>
  <si>
    <t>59.569.488/0001-54</t>
  </si>
  <si>
    <t>Consultas Médicas - prescrição de contrastes para Ressonância</t>
  </si>
  <si>
    <t>29.930.604/0001-19</t>
  </si>
  <si>
    <t>19.953.839/0001-72</t>
  </si>
  <si>
    <t>29.833.718/0001-40</t>
  </si>
  <si>
    <t>04.828.940/0001-24</t>
  </si>
  <si>
    <t>04.412.794/0001-51</t>
  </si>
  <si>
    <t>Ultrassonografia</t>
  </si>
  <si>
    <t>29.844.622/0001-88</t>
  </si>
  <si>
    <t>19.292.190/0001-96</t>
  </si>
  <si>
    <t>30.121.617/0001-26</t>
  </si>
  <si>
    <t>Otniel Alves Rodrigues Mata ME</t>
  </si>
  <si>
    <t>21.925.019/0001-19</t>
  </si>
  <si>
    <t>Instalação e Implantação com locação de Software destinado a envio de alerta SMS para pacientes OFSYS SMS WEB</t>
  </si>
  <si>
    <t>30.518.595/0001-32</t>
  </si>
  <si>
    <t>Promed Santa Angela Comércio e Remoções Ltda</t>
  </si>
  <si>
    <t>67.407.882/0001-85</t>
  </si>
  <si>
    <t>29.582.037/0001-57</t>
  </si>
  <si>
    <t xml:space="preserve">Software destinado Gestão Ambulatorial - Salutem versão WEB </t>
  </si>
  <si>
    <t>Salutem Desenvolvimento e Consultoria Ltda</t>
  </si>
  <si>
    <t>30.886.472/0001-54</t>
  </si>
  <si>
    <t>30.886.563/0001-90</t>
  </si>
  <si>
    <t>Consultas de Dermatologia</t>
  </si>
  <si>
    <t>Stratolav Lavanderia Ltda ME</t>
  </si>
  <si>
    <t>CAM Birigui Alarmes e Sistemas Ltda</t>
  </si>
  <si>
    <t>49.315.906/0001-94</t>
  </si>
  <si>
    <t>Rádio Clube de Araçatuba Ltda</t>
  </si>
  <si>
    <t>02.333.058/0001-82</t>
  </si>
  <si>
    <t>Sistema Regional de Comunicação Andradina Ltda ME</t>
  </si>
  <si>
    <t>Prestação de Serviços de Publicidade</t>
  </si>
  <si>
    <t>Consulta de Neurologia e Neurologia Pediátrica</t>
  </si>
  <si>
    <t>A C Maldonado Semeghini</t>
  </si>
  <si>
    <t>Alergomell Serviços Médicos Ltda</t>
  </si>
  <si>
    <t>Baptista &amp; Pelliccioni Ortopedia Ltda</t>
  </si>
  <si>
    <t>CEMO - Centro Médico Birigui S/S LTDA</t>
  </si>
  <si>
    <t>Centro de Especialidades Clínica Villela S/C Ltda</t>
  </si>
  <si>
    <t>Wolney Gois Barreto</t>
  </si>
  <si>
    <t>V.M.S.G. Serviços Médicos Ltda EPP</t>
  </si>
  <si>
    <t>V V Serviços Médicos Ltda</t>
  </si>
  <si>
    <t>Uromed Serviços Médicos Eireli ME</t>
  </si>
  <si>
    <t>Patrícia Uchoa Bares</t>
  </si>
  <si>
    <t>Osterlaine Henrique Alves</t>
  </si>
  <si>
    <t>13.001.972/0001-42</t>
  </si>
  <si>
    <t>nada Consta</t>
  </si>
  <si>
    <t>Serviços com Propaganda e Publicidade</t>
  </si>
  <si>
    <t>Noronha &amp; Noronha Comércio de Gases Ltda EPP</t>
  </si>
  <si>
    <t>Fornecimento de Gases Medicinais</t>
  </si>
  <si>
    <t>Ensite Brasil Telecomunicações Ltda</t>
  </si>
  <si>
    <t>07.729.336/0001-39</t>
  </si>
  <si>
    <t>Serviços de Conexão a Internet e serviços de comunicação Multimidia</t>
  </si>
  <si>
    <t>29.230.701/0001-07</t>
  </si>
  <si>
    <t>01/12/2018 à 30/11/2019 reajustado de acordo com o Salário Mínimo</t>
  </si>
  <si>
    <t xml:space="preserve">Tomiyama Serviços Médicos Eireli </t>
  </si>
  <si>
    <t>Antonio Prestação de Serviços Médicos Eireli</t>
  </si>
  <si>
    <t>Campos Reis Serviços Médicos Ltda</t>
  </si>
  <si>
    <t>Reis Serviços Médicos e Ginecologista</t>
  </si>
  <si>
    <t xml:space="preserve">M M Giampietro Eireli </t>
  </si>
  <si>
    <t>Salutem Soluções Tecnológicas Ltda</t>
  </si>
  <si>
    <t>24.692.918/0001-07</t>
  </si>
  <si>
    <t>32.449.443/0001-50</t>
  </si>
  <si>
    <t>Consultas de Obstetrícia</t>
  </si>
  <si>
    <t>Reumasto Clínica Médica Ltda</t>
  </si>
  <si>
    <t>Rogério N C R Serviços Ltda - ME</t>
  </si>
  <si>
    <t>Marson Imagem Ltda</t>
  </si>
  <si>
    <t>31.067.870/0001-01</t>
  </si>
  <si>
    <t>Consultas de Mastologia</t>
  </si>
  <si>
    <t>31.202.330/0001-93</t>
  </si>
  <si>
    <t>Consultas de Ginecologia</t>
  </si>
  <si>
    <t>30.077.727/0001-38</t>
  </si>
  <si>
    <t>Clínica de Ortopedia e Medicina Espec. Dr. Pires Ltda ME</t>
  </si>
  <si>
    <t>Clínica de Especialidades Médica Meneses Melo Ltda</t>
  </si>
  <si>
    <t>Clínica Dermatológica e Cirúrgica Della Coletta Ltda</t>
  </si>
  <si>
    <t>Clínica de Doenças do Coração P Serv. Atend Cardiolog Ltda</t>
  </si>
  <si>
    <t>Clínica Médica Meneses Melo Ltda</t>
  </si>
  <si>
    <t>Clínica Médica Pazian Feliciano Ltda</t>
  </si>
  <si>
    <t>Clínica Médica Pupio Ltda ME</t>
  </si>
  <si>
    <t>Clínica Médica Rezende Ltda</t>
  </si>
  <si>
    <t>Clínica Ortopédica Santana Ltda</t>
  </si>
  <si>
    <t>Clínica Santos Dumont Prestação de Serviços Médicos Ltda</t>
  </si>
  <si>
    <t>Covello, Loli &amp; Pereira Clínica Médica Ltda</t>
  </si>
  <si>
    <t>Uroclínica Serviços Médicos Ltda - ME</t>
  </si>
  <si>
    <t>Suhara &amp; Bortoloti Ltda</t>
  </si>
  <si>
    <t>Serra &amp; Serra Serviços Médicos Ltda</t>
  </si>
  <si>
    <t>Serviço de Anestesiologia de Araçatuba</t>
  </si>
  <si>
    <t>RDF Assistência Médica Hospitalar Ltda</t>
  </si>
  <si>
    <t>Pró Saúde Senra e cola Médicos Associados S/S</t>
  </si>
  <si>
    <t>Neri Shinsato &amp; Cia ltda</t>
  </si>
  <si>
    <t>Medcorpus Clínica Médica Ltda</t>
  </si>
  <si>
    <t>CVP Cirurgia Vascular Periférica Serviços Médicos Ltda</t>
  </si>
  <si>
    <t>DCS Diagnóstico por Imagem Ltda</t>
  </si>
  <si>
    <t>De Angelo Serviços Médicos Ltda</t>
  </si>
  <si>
    <t>Dermclin Clínica Dermatológica Ltda</t>
  </si>
  <si>
    <t>E V Serviços de Diagnósticos Eireli</t>
  </si>
  <si>
    <t>Eliza Garcia ME</t>
  </si>
  <si>
    <t>Everton Freitas Leivas</t>
  </si>
  <si>
    <t>G &amp; A Yamanari Ltda</t>
  </si>
  <si>
    <t>Godoy Laurenti &amp; Robles Serviços Médicos</t>
  </si>
  <si>
    <t>Henrique Augusto Cantareira Sabino</t>
  </si>
  <si>
    <t>Hostalácio Gestão em Saúde Ltda</t>
  </si>
  <si>
    <t>Instituto de Cardiologia de Araçatuba Ltda EPP</t>
  </si>
  <si>
    <t>Instituto de Patologia de Araçatuba S/S Ltda</t>
  </si>
  <si>
    <t>J. V. Morais Serviços Médicos Eireli</t>
  </si>
  <si>
    <t>JC &amp; Prado Fernandópolis Ltda</t>
  </si>
  <si>
    <t>José Aparecido da Silva Clínica Médica</t>
  </si>
  <si>
    <t>Kamimura &amp; Takata Serviços Oftalmológicos Ltda ME</t>
  </si>
  <si>
    <t>Laguna Endocrinologia e Cardiologia Médica Ltda EPP</t>
  </si>
  <si>
    <t>Liberatori Gimael Prestação de Serviços Médicos Ltda</t>
  </si>
  <si>
    <t>LK - Consultório de Cardiologia e Pneumologia Ltda</t>
  </si>
  <si>
    <t>Guizzo Controle de Vetores e Pragas Eireli - EPP</t>
  </si>
  <si>
    <t>22.688.290/0001-70</t>
  </si>
  <si>
    <t>Serviço de Controle de Vetores, pragas, limpeza e Higienização de Caixas d'água</t>
  </si>
  <si>
    <t>Assis Serviços Médicos LTDA</t>
  </si>
  <si>
    <t>15.255.371/000191</t>
  </si>
  <si>
    <t>Consulta de Cirurgia Vascular</t>
  </si>
  <si>
    <t>Nogueira &amp; Sousa Serviços Médicos LTDA</t>
  </si>
  <si>
    <t>30.173.910/0001-37</t>
  </si>
  <si>
    <t>Eliziário Barbosa de Siqueira Junior</t>
  </si>
  <si>
    <t>Oxetil Indústria e Comércio de Produtos Esterilizados Eireli EPP</t>
  </si>
  <si>
    <t>74.554.189/0001-09</t>
  </si>
  <si>
    <t>Caetano Oftalmologia Ltda</t>
  </si>
  <si>
    <t>32.396.642/0001-48</t>
  </si>
  <si>
    <t>Consultas de Oftalmologia</t>
  </si>
  <si>
    <t>Terneira &amp; Vicentini Serviços Médicos Ltda</t>
  </si>
  <si>
    <t>12.442.616/0001-00</t>
  </si>
  <si>
    <t>Clínica Toledo Medicina Eireli</t>
  </si>
  <si>
    <t>33.853.733/0001-28</t>
  </si>
  <si>
    <t>Consultas de Reumatologia</t>
  </si>
  <si>
    <t>Gatsu Serviços Médicos Eireli</t>
  </si>
  <si>
    <t>33.431.410/0001-46</t>
  </si>
  <si>
    <t>Consultas de Nefrologia</t>
  </si>
  <si>
    <t>09.719.842/0001-72</t>
  </si>
  <si>
    <t>Consulta de Ginecologia</t>
  </si>
  <si>
    <t>F Soluçoes e Serviços de Tecnologia Ltda</t>
  </si>
  <si>
    <t>Maria Aparecida de Araujo Dias Confecções</t>
  </si>
  <si>
    <t>04.358.620/0001-58</t>
  </si>
  <si>
    <t>Serviço de Confecção de Uniformes</t>
  </si>
  <si>
    <t>Monte Azul Engenharia Ambiental Ltda</t>
  </si>
  <si>
    <t>Clínica Proctoped Ltda</t>
  </si>
  <si>
    <t>Lopes &amp; Lopes Clinica Oftalmologica Ltda</t>
  </si>
  <si>
    <t>Clínica Mitidieri Ata Ltda</t>
  </si>
  <si>
    <t>34.524.259/0001-53</t>
  </si>
  <si>
    <t>01/12/2018 à 30/11/2020</t>
  </si>
  <si>
    <t>32.764.646/0001-31</t>
  </si>
  <si>
    <t>Exame de Colonoscopia</t>
  </si>
  <si>
    <t>33.942.387/0001-54</t>
  </si>
  <si>
    <t>Nascimento e Jerônimo Ltda</t>
  </si>
  <si>
    <t>Fornecimento Gás Medicinal</t>
  </si>
  <si>
    <t>07.086.661/0001-20</t>
  </si>
  <si>
    <t xml:space="preserve">Data de Assinatura </t>
  </si>
  <si>
    <t>07.474.132/0001-32</t>
  </si>
  <si>
    <t>Prestação de Serviços na Locação de Veículos</t>
  </si>
  <si>
    <t>Condições de Pagamento</t>
  </si>
  <si>
    <t>Mensal - até o dia 10 do mês seguinte</t>
  </si>
  <si>
    <t>Mensal - até o dia 5 do mês seguinte</t>
  </si>
  <si>
    <t>Pagamento Único Anual</t>
  </si>
  <si>
    <t>Mensal - até o dia 10 do mês corrente</t>
  </si>
  <si>
    <t>Mensal - até o dia 15 do mês corrente</t>
  </si>
  <si>
    <t>Mensal - até o dia 31 do mês corrente</t>
  </si>
  <si>
    <t>Mensal - até o dia 5 do mês corrente</t>
  </si>
  <si>
    <t>30 dias após a emissão da N ota Fiscal</t>
  </si>
  <si>
    <t>03 Parcelas Anuais</t>
  </si>
  <si>
    <t>Mensal - até o dia 25 do mês seguinte</t>
  </si>
  <si>
    <t>Mensal - até o dia 20 do mês seguinte</t>
  </si>
  <si>
    <t>Prestação de Serviços de Esterilização de Materiais</t>
  </si>
  <si>
    <t>Fábio Antonio Obici</t>
  </si>
  <si>
    <t>Diretor Presidente</t>
  </si>
  <si>
    <t>Edson Ricardo Eidi Takagi</t>
  </si>
  <si>
    <t>35.740.343/0001-77</t>
  </si>
  <si>
    <t>Lilian Carla Rabelo Martins Clinica Médica</t>
  </si>
  <si>
    <t>25.209.444/000162</t>
  </si>
  <si>
    <t>Consulta de Cardiologia</t>
  </si>
  <si>
    <t>Marcela Pereira Martinez</t>
  </si>
  <si>
    <t>31.151.739/0001-28</t>
  </si>
  <si>
    <t>Consultas de Mastologia e Obstetrícia</t>
  </si>
  <si>
    <t>Nascimento Serviços Médicos</t>
  </si>
  <si>
    <t>35.328.641/0001-54</t>
  </si>
  <si>
    <t>Natalino Pereira Brito</t>
  </si>
  <si>
    <t>30.778.650/0001-23</t>
  </si>
  <si>
    <t>34.251.681/0001-82</t>
  </si>
  <si>
    <t>Planejamento e organização de Instituições de Saúde</t>
  </si>
  <si>
    <t>27.619.442/0001-77</t>
  </si>
  <si>
    <t>Encerrado</t>
  </si>
  <si>
    <t>Previato Clínica Oftalmológica Ltda</t>
  </si>
  <si>
    <t>Fugihara Arantes Serviços Médicos Ltda</t>
  </si>
  <si>
    <t>Clínica Aoki Eireli</t>
  </si>
  <si>
    <t>V.M.S.G. Clínica Médica Ltda</t>
  </si>
  <si>
    <t>Gabriela Zani Lopes &amp; Cia SS Ltda</t>
  </si>
  <si>
    <t>Cibelle Sabrina Vieira da Mata</t>
  </si>
  <si>
    <t>09.652.990/0001-17</t>
  </si>
  <si>
    <t>33.431.355/0001-94</t>
  </si>
  <si>
    <t>36.083.457/0001-54</t>
  </si>
  <si>
    <t>16.784.601/0001-72</t>
  </si>
  <si>
    <t>36.434.545/0001-53</t>
  </si>
  <si>
    <t>36.163.263/0001-69</t>
  </si>
  <si>
    <t>Prestadores de Serviços e Valores pagos em 2020</t>
  </si>
  <si>
    <t>Consultas de Obstetricia</t>
  </si>
  <si>
    <t>Consulta de Oftalmologia</t>
  </si>
  <si>
    <t>Desenvolvimento e Manutenção projeto Matriciamento</t>
  </si>
  <si>
    <t>Serviços Especializados de Endoscopia Digestiva Alta</t>
  </si>
  <si>
    <t>San Corpus Serviços Médicos Ltda</t>
  </si>
  <si>
    <t>Mensal - 03 parcelas a partir do mês o mês corrente</t>
  </si>
  <si>
    <t>02.728.036/0001-11</t>
  </si>
  <si>
    <t>Master Prime Auditoria e Assessoria Contábil Eireli</t>
  </si>
  <si>
    <t>Software destinado Gestão Ambulatorial</t>
  </si>
  <si>
    <t>Planisa Tech Consultoria e Desenvolvimento Ltda</t>
  </si>
  <si>
    <t>27.220.921/0001-16</t>
  </si>
  <si>
    <t>Mensal - até o dia 25 do mês corrente</t>
  </si>
  <si>
    <t>Technolaser Cartuchos Ltda</t>
  </si>
  <si>
    <t>05.978.864/0001-04</t>
  </si>
  <si>
    <t>Prestação de Serviços na Locação de Equipamentos Médicos</t>
  </si>
  <si>
    <t>uniformes</t>
  </si>
  <si>
    <t>Fornecimento Nitrogênio Líquido</t>
  </si>
  <si>
    <t>Nitroata Representações Eireli - ME</t>
  </si>
  <si>
    <t>Nucleo Fiscal Contabilidade e Consultoria Tributária Ltda</t>
  </si>
  <si>
    <t>Dermecc Dermatologia Ltda</t>
  </si>
  <si>
    <t>Miyamoto Serviços Médicos S/S</t>
  </si>
  <si>
    <t>Clinica Vitale Ltda</t>
  </si>
  <si>
    <t xml:space="preserve">Gaiotto Ferreira Serviços Médicos Eiteli </t>
  </si>
  <si>
    <t>Uromed Serviços Médicos Ltda</t>
  </si>
  <si>
    <t>R.R. Ferreira Contabilidade Eireli EPP</t>
  </si>
  <si>
    <t>14.977.378/0001-54</t>
  </si>
  <si>
    <t>Serviços de Assessoria Contábil</t>
  </si>
  <si>
    <t>Avezum Serviços Médicos Ltda</t>
  </si>
  <si>
    <t>Syspec Informatica Eireli</t>
  </si>
  <si>
    <t>67.220.871/0001-91</t>
  </si>
  <si>
    <t>Arruda &amp; Granato serviços Médicos SS</t>
  </si>
  <si>
    <t>27.933.945/0001-12</t>
  </si>
  <si>
    <t>Consultas Médicas de Neurologia Pediátrica</t>
  </si>
  <si>
    <t>12.998.527/0001-36</t>
  </si>
  <si>
    <t xml:space="preserve">Consulta de Pneumologia </t>
  </si>
  <si>
    <t>28.037.054/0001-40</t>
  </si>
  <si>
    <t>36.116.524/0001-90</t>
  </si>
  <si>
    <t>encerrado</t>
  </si>
  <si>
    <t>Auditoria Contábil Diagnóstico</t>
  </si>
  <si>
    <t>Serviços de Processamento de Dados</t>
  </si>
  <si>
    <t>Serviços de Manutenção e Reparos</t>
  </si>
  <si>
    <t>Serviços Médicos</t>
  </si>
  <si>
    <t>Serviços de Laboratório</t>
  </si>
  <si>
    <t>Serviços de Auditoria</t>
  </si>
  <si>
    <t>Serviços de Segurança</t>
  </si>
  <si>
    <t>Serviços Gerais</t>
  </si>
  <si>
    <t>Serviços de Radiologia</t>
  </si>
  <si>
    <t>Serviços de Lavanderia</t>
  </si>
  <si>
    <t>Serviços de Esterilização</t>
  </si>
  <si>
    <t>Serviços de Consultoria</t>
  </si>
  <si>
    <t>Reprodução de Documentos</t>
  </si>
  <si>
    <t xml:space="preserve">Locação </t>
  </si>
  <si>
    <t>23.212.144/0001-07</t>
  </si>
  <si>
    <t>Fornecimento de Nitrogênio Líquido</t>
  </si>
  <si>
    <t>Serviços de Plataforma Kpih, gestão de Custos Hospitalares</t>
  </si>
  <si>
    <t>13.797.961/0001-10</t>
  </si>
  <si>
    <t>Pagamento único</t>
  </si>
  <si>
    <t>Clínica Rio Serviços Médicos e Odontológicos Ltda</t>
  </si>
  <si>
    <t>26.930.984/0001-01</t>
  </si>
  <si>
    <t>Consultas de Cardiologia</t>
  </si>
  <si>
    <t>ACS Auditoria e Consultoria Contabil Ltda</t>
  </si>
  <si>
    <t>Bionexo do Brasil soluções Digitais Eireli</t>
  </si>
  <si>
    <t>04.069.709/0001-02</t>
  </si>
  <si>
    <t>Software de Licenciamento de Uso das Soluções Digitais Bionexo</t>
  </si>
  <si>
    <t>Mensal - até o dia 20 do mês corrente</t>
  </si>
  <si>
    <t>Mensal - até o dia 30 do mês corrente</t>
  </si>
  <si>
    <t>Serviços de Matriciamento</t>
  </si>
  <si>
    <t>Serviços de CCIH</t>
  </si>
  <si>
    <t>Lucimar B. de Moraes</t>
  </si>
  <si>
    <t>38.266.212/0001-98</t>
  </si>
  <si>
    <t>Kosaki &amp; Muniz Clínica Médica Ltda</t>
  </si>
  <si>
    <t>Monize A G Nascimento</t>
  </si>
  <si>
    <t>Carlos Weverton Ortega Sanches Clinica Médica Ltda</t>
  </si>
  <si>
    <t>27.550.255/0001-84</t>
  </si>
  <si>
    <t>24.034.256/0001-88</t>
  </si>
  <si>
    <t>Vania Milena Basso da Silva Eireli</t>
  </si>
  <si>
    <t>32.463.042/0001-55</t>
  </si>
  <si>
    <t>RESCINDIDO</t>
  </si>
  <si>
    <t>Localmed Diagnosticos Médicos Ltda</t>
  </si>
  <si>
    <t>Confecção de Uniformes</t>
  </si>
  <si>
    <t>32.302.720/0001-06</t>
  </si>
  <si>
    <t xml:space="preserve">Consulta de Ginecologia e Obstetricia </t>
  </si>
  <si>
    <t>11.510.215/0001-79</t>
  </si>
  <si>
    <t>FRANCHINI SERVIÇOS MEDICOS LTDA</t>
  </si>
  <si>
    <t>37.455.879/0001-76</t>
  </si>
  <si>
    <t>Consulta de obstetrícia</t>
  </si>
  <si>
    <t>Lima e Perin Confecções Ltda</t>
  </si>
  <si>
    <t>32.374.111/0001-54</t>
  </si>
  <si>
    <t>36.847.876/0001-15</t>
  </si>
  <si>
    <t>13.797.610/0001-10</t>
  </si>
  <si>
    <t>Núcleo Fiscal Contabilidade e Consultoria Tributária Ltda</t>
  </si>
  <si>
    <t>Martins &amp; Figueiredo Serviços Médicos Ltd</t>
  </si>
  <si>
    <t>11.777.908/0001-22</t>
  </si>
  <si>
    <t>Serviços Prestados na Gerência Médica</t>
  </si>
  <si>
    <t>37.230.773/0001-74</t>
  </si>
  <si>
    <t>SEAD Prestadora de Serviços Médicos Ltda</t>
  </si>
  <si>
    <t>Softmatic Sistemas Automaticos de Informatica Ltda</t>
  </si>
  <si>
    <t>CAF Atendimento Médico</t>
  </si>
  <si>
    <t>Neuroencefalo Serviços Médicos Ltda</t>
  </si>
  <si>
    <t>58.119.371/0001-77</t>
  </si>
  <si>
    <t>29.333.471/0001-01</t>
  </si>
  <si>
    <t>20.383.619/0001-30</t>
  </si>
  <si>
    <t>Consultas de Neurologia</t>
  </si>
  <si>
    <t>Pagamento Único</t>
  </si>
  <si>
    <t>Cesta Básica / Cartão Alimentação</t>
  </si>
  <si>
    <t>30.798.783/0001-61</t>
  </si>
  <si>
    <t>Serviços Prestados de Emissão e Gestão dos Cartões BEM Refeição e Alimentação</t>
  </si>
  <si>
    <t>Ben Benefícios e Serviços S/A</t>
  </si>
  <si>
    <t>Cabrera Assitência Medical Laboratorial Ltda</t>
  </si>
  <si>
    <t>Vilela Gaiotto Serviços Médicos Ltda</t>
  </si>
  <si>
    <t>Prestadores de Serviços e Valores pagos em 2022</t>
  </si>
  <si>
    <t>24.603.373/0001-15</t>
  </si>
  <si>
    <t>43.962.210/0001-73</t>
  </si>
  <si>
    <t>AGECON Telecomunicações e Eletri Ltda</t>
  </si>
  <si>
    <t>01.114.084.0001-57</t>
  </si>
  <si>
    <t>Sistema de Telefonia e IPBX</t>
  </si>
  <si>
    <t xml:space="preserve">L.A.C Serviços Médicos Ltda </t>
  </si>
  <si>
    <t>Laboratório Domingues Cruz Ltda</t>
  </si>
  <si>
    <t>47.758.743/0001-99</t>
  </si>
  <si>
    <t>Gazola  Serviços Médicos Ltda</t>
  </si>
  <si>
    <t>Pincerato Clinica Médica Ltda</t>
  </si>
  <si>
    <t xml:space="preserve">Clinica Médica Borgognoni &amp; Guglielmi </t>
  </si>
  <si>
    <t>Consultas de Gastroclinica, Hepatologia, Endoscopia Digestiva Alta e Colonocospia</t>
  </si>
  <si>
    <t>24.705.411/0001-40</t>
  </si>
  <si>
    <t>31.586.797/0001-84</t>
  </si>
  <si>
    <t>28.055.007/0001-20</t>
  </si>
  <si>
    <t>SST Assessoria e Gestão em Segurança e Saúde do Trabalho Ltda</t>
  </si>
  <si>
    <t>44.536.583/0001-45</t>
  </si>
  <si>
    <t>Serviços de Segurança do trabalho e Saúde Ocupacional</t>
  </si>
  <si>
    <t>Clínica de Diagnóstico por Imagem M&amp;M</t>
  </si>
  <si>
    <t>A &amp; A Yamanari Ltda</t>
  </si>
  <si>
    <t>Clinica Conrado de Especialidades Medicas Ltda</t>
  </si>
  <si>
    <t>07.658.643/0001-76</t>
  </si>
  <si>
    <t>Prestação de Serviços Médicos Especialidades de Ultrassonografia</t>
  </si>
  <si>
    <t>Indeterminado</t>
  </si>
  <si>
    <t>Software de Telecomunicações com a disponibilização de Serviços URA ATIVA</t>
  </si>
  <si>
    <t>44.806.331/0001-99</t>
  </si>
  <si>
    <t>Serviços de Elaboração do arquivo Digital ECD - Ano Calendário 2021</t>
  </si>
  <si>
    <t>Global Health Serviços Médicos Ltda</t>
  </si>
  <si>
    <t>25.404.467/0001-28</t>
  </si>
  <si>
    <t>Serviços Prestados DE Pneumologia</t>
  </si>
  <si>
    <t>Aurum Softmatica Ltda</t>
  </si>
  <si>
    <t>17.160.849/0004-78</t>
  </si>
  <si>
    <t>Materiais Hospitalares</t>
  </si>
  <si>
    <t>J. A. Medeiros Materiais Hospitalares Ltda</t>
  </si>
  <si>
    <t>34.578.700/0001-80</t>
  </si>
  <si>
    <t>Fornecimento de Materiais Hospitalares (avental, luvas, máscaras, toucas, etc)</t>
  </si>
  <si>
    <t>até 30 dias após emissão da Nota Fiscal de compra</t>
  </si>
  <si>
    <t>Centro de Patologia e Citologia Ltda</t>
  </si>
  <si>
    <t>05.203.035/0001- 41</t>
  </si>
  <si>
    <t>Serviços de Anatomopatologia, exames laboratoriais Histopatológicos e Citopatológicos</t>
  </si>
  <si>
    <t>Nefrovida Serviços Médicos Ltda</t>
  </si>
  <si>
    <t>Plasticlinica Araçatuba Ltda</t>
  </si>
  <si>
    <t>33.421.894/0001-80</t>
  </si>
  <si>
    <t>55.754.279/0001-90</t>
  </si>
  <si>
    <t>ativo</t>
  </si>
  <si>
    <t>licença maternidade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</si>
</sst>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  <numFmt numFmtId="179" formatCode="0.0"/>
    <numFmt numFmtId="180" formatCode="_(* #,##0.000_);_(* \(#,##0.0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72" fontId="26" fillId="0" borderId="11" xfId="0" applyNumberFormat="1" applyFont="1" applyFill="1" applyBorder="1" applyAlignment="1">
      <alignment horizontal="center" vertical="center" wrapText="1"/>
    </xf>
    <xf numFmtId="172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172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/>
    </xf>
    <xf numFmtId="14" fontId="25" fillId="0" borderId="12" xfId="0" applyNumberFormat="1" applyFont="1" applyFill="1" applyBorder="1" applyAlignment="1">
      <alignment horizontal="center" vertical="center" wrapText="1"/>
    </xf>
    <xf numFmtId="171" fontId="25" fillId="0" borderId="12" xfId="0" applyNumberFormat="1" applyFont="1" applyFill="1" applyBorder="1" applyAlignment="1">
      <alignment horizontal="center" vertical="center"/>
    </xf>
    <xf numFmtId="171" fontId="26" fillId="0" borderId="12" xfId="0" applyNumberFormat="1" applyFont="1" applyFill="1" applyBorder="1" applyAlignment="1">
      <alignment vertical="center"/>
    </xf>
    <xf numFmtId="171" fontId="26" fillId="0" borderId="12" xfId="0" applyNumberFormat="1" applyFont="1" applyFill="1" applyBorder="1" applyAlignment="1">
      <alignment vertical="center" wrapText="1"/>
    </xf>
    <xf numFmtId="171" fontId="25" fillId="0" borderId="12" xfId="0" applyNumberFormat="1" applyFont="1" applyFill="1" applyBorder="1" applyAlignment="1">
      <alignment vertical="center" wrapText="1"/>
    </xf>
    <xf numFmtId="171" fontId="26" fillId="0" borderId="0" xfId="0" applyNumberFormat="1" applyFont="1" applyFill="1" applyBorder="1" applyAlignment="1">
      <alignment horizontal="center" vertical="center"/>
    </xf>
    <xf numFmtId="171" fontId="26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7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171" fontId="26" fillId="0" borderId="13" xfId="0" applyNumberFormat="1" applyFont="1" applyFill="1" applyBorder="1" applyAlignment="1">
      <alignment horizontal="center" vertical="center"/>
    </xf>
    <xf numFmtId="171" fontId="26" fillId="0" borderId="13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71" fontId="25" fillId="0" borderId="12" xfId="0" applyNumberFormat="1" applyFont="1" applyFill="1" applyBorder="1" applyAlignment="1">
      <alignment horizontal="left" vertical="center" wrapText="1"/>
    </xf>
    <xf numFmtId="172" fontId="25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/>
    </xf>
    <xf numFmtId="14" fontId="25" fillId="0" borderId="12" xfId="0" applyNumberFormat="1" applyFont="1" applyFill="1" applyBorder="1" applyAlignment="1">
      <alignment horizontal="left" vertical="center" wrapText="1"/>
    </xf>
    <xf numFmtId="172" fontId="25" fillId="0" borderId="15" xfId="0" applyNumberFormat="1" applyFont="1" applyFill="1" applyBorder="1" applyAlignment="1">
      <alignment horizontal="center" vertical="center"/>
    </xf>
    <xf numFmtId="172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horizontal="center" vertical="center"/>
    </xf>
    <xf numFmtId="171" fontId="25" fillId="0" borderId="0" xfId="0" applyNumberFormat="1" applyFont="1" applyFill="1" applyAlignment="1">
      <alignment horizontal="center" vertical="center"/>
    </xf>
    <xf numFmtId="171" fontId="25" fillId="33" borderId="12" xfId="0" applyNumberFormat="1" applyFont="1" applyFill="1" applyBorder="1" applyAlignment="1">
      <alignment horizontal="center" vertical="center"/>
    </xf>
    <xf numFmtId="171" fontId="50" fillId="33" borderId="12" xfId="0" applyNumberFormat="1" applyFont="1" applyFill="1" applyBorder="1" applyAlignment="1" applyProtection="1">
      <alignment vertical="center"/>
      <protection locked="0"/>
    </xf>
    <xf numFmtId="172" fontId="51" fillId="34" borderId="12" xfId="0" applyNumberFormat="1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vertical="center" wrapText="1"/>
    </xf>
    <xf numFmtId="0" fontId="51" fillId="34" borderId="12" xfId="0" applyFont="1" applyFill="1" applyBorder="1" applyAlignment="1">
      <alignment horizontal="center" vertical="center"/>
    </xf>
    <xf numFmtId="14" fontId="51" fillId="34" borderId="12" xfId="0" applyNumberFormat="1" applyFont="1" applyFill="1" applyBorder="1" applyAlignment="1">
      <alignment horizontal="center" vertical="center" wrapText="1"/>
    </xf>
    <xf numFmtId="171" fontId="51" fillId="34" borderId="12" xfId="0" applyNumberFormat="1" applyFont="1" applyFill="1" applyBorder="1" applyAlignment="1">
      <alignment horizontal="center" vertical="center"/>
    </xf>
    <xf numFmtId="171" fontId="52" fillId="34" borderId="12" xfId="0" applyNumberFormat="1" applyFont="1" applyFill="1" applyBorder="1" applyAlignment="1">
      <alignment vertical="center"/>
    </xf>
    <xf numFmtId="171" fontId="52" fillId="34" borderId="12" xfId="0" applyNumberFormat="1" applyFont="1" applyFill="1" applyBorder="1" applyAlignment="1">
      <alignment vertical="center" wrapText="1"/>
    </xf>
    <xf numFmtId="171" fontId="51" fillId="34" borderId="12" xfId="0" applyNumberFormat="1" applyFont="1" applyFill="1" applyBorder="1" applyAlignment="1">
      <alignment vertical="center" wrapText="1"/>
    </xf>
    <xf numFmtId="0" fontId="51" fillId="34" borderId="12" xfId="0" applyFont="1" applyFill="1" applyBorder="1" applyAlignment="1">
      <alignment vertical="center"/>
    </xf>
    <xf numFmtId="43" fontId="26" fillId="0" borderId="0" xfId="0" applyNumberFormat="1" applyFont="1" applyFill="1" applyAlignment="1">
      <alignment vertical="center"/>
    </xf>
    <xf numFmtId="0" fontId="51" fillId="0" borderId="0" xfId="0" applyFont="1" applyFill="1" applyAlignment="1">
      <alignment vertical="center"/>
    </xf>
    <xf numFmtId="171" fontId="50" fillId="0" borderId="12" xfId="0" applyNumberFormat="1" applyFont="1" applyFill="1" applyBorder="1" applyAlignment="1" applyProtection="1">
      <alignment vertical="center"/>
      <protection locked="0"/>
    </xf>
    <xf numFmtId="171" fontId="51" fillId="34" borderId="12" xfId="0" applyNumberFormat="1" applyFont="1" applyFill="1" applyBorder="1" applyAlignment="1" applyProtection="1">
      <alignment vertical="center"/>
      <protection locked="0"/>
    </xf>
    <xf numFmtId="171" fontId="26" fillId="0" borderId="16" xfId="0" applyNumberFormat="1" applyFont="1" applyFill="1" applyBorder="1" applyAlignment="1">
      <alignment horizontal="center" vertical="center"/>
    </xf>
    <xf numFmtId="171" fontId="26" fillId="0" borderId="16" xfId="0" applyNumberFormat="1" applyFont="1" applyFill="1" applyBorder="1" applyAlignment="1">
      <alignment vertical="center"/>
    </xf>
    <xf numFmtId="0" fontId="26" fillId="0" borderId="16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171" fontId="52" fillId="0" borderId="12" xfId="0" applyNumberFormat="1" applyFont="1" applyFill="1" applyBorder="1" applyAlignment="1">
      <alignment vertical="center"/>
    </xf>
    <xf numFmtId="171" fontId="52" fillId="0" borderId="12" xfId="0" applyNumberFormat="1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/>
    </xf>
    <xf numFmtId="171" fontId="25" fillId="0" borderId="0" xfId="0" applyNumberFormat="1" applyFont="1" applyFill="1" applyBorder="1" applyAlignment="1">
      <alignment vertical="center"/>
    </xf>
    <xf numFmtId="43" fontId="25" fillId="0" borderId="0" xfId="0" applyNumberFormat="1" applyFont="1" applyFill="1" applyAlignment="1">
      <alignment vertical="center"/>
    </xf>
    <xf numFmtId="171" fontId="26" fillId="33" borderId="12" xfId="0" applyNumberFormat="1" applyFont="1" applyFill="1" applyBorder="1" applyAlignment="1">
      <alignment horizontal="center" vertical="center"/>
    </xf>
    <xf numFmtId="171" fontId="26" fillId="0" borderId="12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172" fontId="25" fillId="0" borderId="0" xfId="0" applyNumberFormat="1" applyFont="1" applyFill="1" applyAlignment="1">
      <alignment horizontal="center" vertical="center"/>
    </xf>
    <xf numFmtId="171" fontId="25" fillId="0" borderId="12" xfId="0" applyNumberFormat="1" applyFont="1" applyFill="1" applyBorder="1" applyAlignment="1" applyProtection="1">
      <alignment vertical="center"/>
      <protection locked="0"/>
    </xf>
    <xf numFmtId="171" fontId="25" fillId="0" borderId="0" xfId="66" applyFont="1" applyFill="1" applyAlignment="1">
      <alignment vertical="center"/>
    </xf>
    <xf numFmtId="0" fontId="25" fillId="0" borderId="12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172" fontId="25" fillId="0" borderId="0" xfId="0" applyNumberFormat="1" applyFont="1" applyFill="1" applyAlignment="1">
      <alignment horizontal="center" vertical="center"/>
    </xf>
    <xf numFmtId="171" fontId="26" fillId="0" borderId="12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172" fontId="25" fillId="0" borderId="0" xfId="0" applyNumberFormat="1" applyFont="1" applyFill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172" fontId="26" fillId="0" borderId="12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7" xfId="0" applyFont="1" applyFill="1" applyBorder="1" applyAlignment="1" quotePrefix="1">
      <alignment horizontal="center" vertical="center"/>
    </xf>
    <xf numFmtId="171" fontId="26" fillId="0" borderId="12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71" fontId="26" fillId="0" borderId="17" xfId="0" applyNumberFormat="1" applyFont="1" applyFill="1" applyBorder="1" applyAlignment="1">
      <alignment horizontal="center" vertical="center"/>
    </xf>
    <xf numFmtId="171" fontId="26" fillId="0" borderId="18" xfId="0" applyNumberFormat="1" applyFont="1" applyFill="1" applyBorder="1" applyAlignment="1">
      <alignment horizontal="center" vertical="center"/>
    </xf>
    <xf numFmtId="0" fontId="26" fillId="0" borderId="0" xfId="50" applyFont="1" applyFill="1" applyAlignment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17" xfId="0" applyFont="1" applyFill="1" applyBorder="1" applyAlignment="1" quotePrefix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1066800</xdr:colOff>
      <xdr:row>0</xdr:row>
      <xdr:rowOff>123825</xdr:rowOff>
    </xdr:from>
    <xdr:to>
      <xdr:col>7</xdr:col>
      <xdr:colOff>466725</xdr:colOff>
      <xdr:row>5</xdr:row>
      <xdr:rowOff>9525</xdr:rowOff>
    </xdr:to>
    <xdr:pic>
      <xdr:nvPicPr>
        <xdr:cNvPr id="1" name="Imagem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23825"/>
          <a:ext cx="1666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123825</xdr:rowOff>
    </xdr:from>
    <xdr:to>
      <xdr:col>5</xdr:col>
      <xdr:colOff>1409700</xdr:colOff>
      <xdr:row>5</xdr:row>
      <xdr:rowOff>142875</xdr:rowOff>
    </xdr:to>
    <xdr:pic>
      <xdr:nvPicPr>
        <xdr:cNvPr id="1" name="Imagem 2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123825"/>
          <a:ext cx="1657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91"/>
  <sheetViews>
    <sheetView showGridLines="0" tabSelected="1" zoomScale="110" zoomScaleNormal="110" zoomScaleSheetLayoutView="70" workbookViewId="0" topLeftCell="C4">
      <pane ySplit="10" topLeftCell="A22" activePane="bottomLeft" state="frozen"/>
      <selection pane="topLeft" activeCell="A4" sqref="A4"/>
      <selection pane="bottomLeft" activeCell="I112" sqref="I112"/>
    </sheetView>
  </sheetViews>
  <sheetFormatPr defaultColWidth="27.57421875" defaultRowHeight="15" customHeight="1"/>
  <cols>
    <col min="1" max="1" width="9.00390625" style="73" hidden="1" customWidth="1"/>
    <col min="2" max="2" width="28.00390625" style="73" hidden="1" customWidth="1"/>
    <col min="3" max="3" width="53.140625" style="4" bestFit="1" customWidth="1"/>
    <col min="4" max="4" width="17.421875" style="1" hidden="1" customWidth="1"/>
    <col min="5" max="5" width="16.00390625" style="1" hidden="1" customWidth="1"/>
    <col min="6" max="6" width="73.7109375" style="2" hidden="1" customWidth="1"/>
    <col min="7" max="7" width="18.00390625" style="1" customWidth="1"/>
    <col min="8" max="11" width="11.00390625" style="1" customWidth="1"/>
    <col min="12" max="16" width="12.421875" style="1" customWidth="1"/>
    <col min="17" max="17" width="11.00390625" style="1" customWidth="1"/>
    <col min="18" max="18" width="10.7109375" style="1" customWidth="1"/>
    <col min="19" max="19" width="10.8515625" style="1" customWidth="1"/>
    <col min="20" max="20" width="12.7109375" style="3" customWidth="1"/>
    <col min="21" max="21" width="32.140625" style="3" hidden="1" customWidth="1"/>
    <col min="22" max="22" width="11.00390625" style="1" hidden="1" customWidth="1"/>
    <col min="23" max="23" width="11.00390625" style="2" bestFit="1" customWidth="1"/>
    <col min="24" max="16384" width="27.57421875" style="2" customWidth="1"/>
  </cols>
  <sheetData>
    <row r="2" spans="3:22" ht="15" customHeight="1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2"/>
      <c r="V2" s="2"/>
    </row>
    <row r="8" spans="1:22" ht="15" customHeight="1">
      <c r="A8" s="78" t="s">
        <v>460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10" spans="1:22" ht="15" customHeight="1">
      <c r="A10" s="5" t="s">
        <v>141</v>
      </c>
      <c r="B10" s="82" t="s">
        <v>144</v>
      </c>
      <c r="C10" s="81" t="s">
        <v>6</v>
      </c>
      <c r="D10" s="79" t="s">
        <v>8</v>
      </c>
      <c r="E10" s="81" t="s">
        <v>303</v>
      </c>
      <c r="F10" s="81" t="s">
        <v>7</v>
      </c>
      <c r="G10" s="81" t="s">
        <v>94</v>
      </c>
      <c r="H10" s="80" t="s">
        <v>2</v>
      </c>
      <c r="I10" s="80" t="s">
        <v>1</v>
      </c>
      <c r="J10" s="80" t="s">
        <v>16</v>
      </c>
      <c r="K10" s="80" t="s">
        <v>17</v>
      </c>
      <c r="L10" s="80" t="s">
        <v>18</v>
      </c>
      <c r="M10" s="80" t="s">
        <v>19</v>
      </c>
      <c r="N10" s="80" t="s">
        <v>20</v>
      </c>
      <c r="O10" s="80" t="s">
        <v>23</v>
      </c>
      <c r="P10" s="80" t="s">
        <v>24</v>
      </c>
      <c r="Q10" s="80" t="s">
        <v>25</v>
      </c>
      <c r="R10" s="80" t="s">
        <v>26</v>
      </c>
      <c r="S10" s="80" t="s">
        <v>27</v>
      </c>
      <c r="T10" s="80" t="s">
        <v>3</v>
      </c>
      <c r="U10" s="81" t="s">
        <v>306</v>
      </c>
      <c r="V10" s="79" t="s">
        <v>120</v>
      </c>
    </row>
    <row r="11" spans="1:22" ht="15" customHeight="1">
      <c r="A11" s="6" t="s">
        <v>142</v>
      </c>
      <c r="B11" s="82"/>
      <c r="C11" s="81"/>
      <c r="D11" s="79"/>
      <c r="E11" s="81"/>
      <c r="F11" s="81"/>
      <c r="G11" s="81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1"/>
      <c r="V11" s="79"/>
    </row>
    <row r="12" spans="1:22" ht="15" customHeight="1">
      <c r="A12" s="7"/>
      <c r="B12" s="7"/>
      <c r="C12" s="8"/>
      <c r="D12" s="9"/>
      <c r="E12" s="8"/>
      <c r="F12" s="8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8"/>
      <c r="V12" s="9"/>
    </row>
    <row r="13" spans="1:22" ht="15" customHeight="1">
      <c r="A13" s="83" t="s">
        <v>389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5"/>
    </row>
    <row r="14" spans="1:22" ht="15" customHeight="1">
      <c r="A14" s="11" t="s">
        <v>143</v>
      </c>
      <c r="B14" s="11" t="s">
        <v>145</v>
      </c>
      <c r="C14" s="12" t="s">
        <v>29</v>
      </c>
      <c r="D14" s="13" t="s">
        <v>40</v>
      </c>
      <c r="E14" s="14">
        <v>43435</v>
      </c>
      <c r="F14" s="12" t="s">
        <v>30</v>
      </c>
      <c r="G14" s="14">
        <v>45260</v>
      </c>
      <c r="H14" s="15">
        <v>757.21</v>
      </c>
      <c r="I14" s="15">
        <v>757.21</v>
      </c>
      <c r="J14" s="15">
        <v>757.21</v>
      </c>
      <c r="K14" s="15">
        <v>757.21</v>
      </c>
      <c r="L14" s="15">
        <v>757.21</v>
      </c>
      <c r="M14" s="15">
        <v>757.21</v>
      </c>
      <c r="N14" s="15">
        <v>757.21</v>
      </c>
      <c r="O14" s="15">
        <v>757.21</v>
      </c>
      <c r="P14" s="15">
        <v>757.21</v>
      </c>
      <c r="Q14" s="15">
        <v>757.21</v>
      </c>
      <c r="R14" s="15">
        <v>757.21</v>
      </c>
      <c r="S14" s="15">
        <v>757.21</v>
      </c>
      <c r="T14" s="16">
        <f aca="true" t="shared" si="0" ref="T14:T23">SUM(H14:S14)</f>
        <v>9086.52</v>
      </c>
      <c r="U14" s="17" t="s">
        <v>308</v>
      </c>
      <c r="V14" s="13" t="s">
        <v>121</v>
      </c>
    </row>
    <row r="15" spans="1:22" ht="15" customHeight="1">
      <c r="A15" s="11" t="s">
        <v>143</v>
      </c>
      <c r="B15" s="11" t="s">
        <v>145</v>
      </c>
      <c r="C15" s="12" t="s">
        <v>104</v>
      </c>
      <c r="D15" s="13" t="s">
        <v>102</v>
      </c>
      <c r="E15" s="14">
        <v>44521</v>
      </c>
      <c r="F15" s="12" t="s">
        <v>103</v>
      </c>
      <c r="G15" s="14">
        <v>44886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960</v>
      </c>
      <c r="T15" s="16">
        <f t="shared" si="0"/>
        <v>960</v>
      </c>
      <c r="U15" s="17" t="s">
        <v>309</v>
      </c>
      <c r="V15" s="13" t="s">
        <v>121</v>
      </c>
    </row>
    <row r="16" spans="1:22" ht="15" customHeight="1">
      <c r="A16" s="11" t="s">
        <v>143</v>
      </c>
      <c r="B16" s="11" t="s">
        <v>145</v>
      </c>
      <c r="C16" s="12" t="s">
        <v>124</v>
      </c>
      <c r="D16" s="13" t="s">
        <v>125</v>
      </c>
      <c r="E16" s="14">
        <v>43435</v>
      </c>
      <c r="F16" s="18" t="s">
        <v>38</v>
      </c>
      <c r="G16" s="14">
        <v>45260</v>
      </c>
      <c r="H16" s="15">
        <v>2068.2</v>
      </c>
      <c r="I16" s="15">
        <v>2068.2</v>
      </c>
      <c r="J16" s="15">
        <v>2068.2</v>
      </c>
      <c r="K16" s="15">
        <v>2068.2</v>
      </c>
      <c r="L16" s="15">
        <v>2068.2</v>
      </c>
      <c r="M16" s="15">
        <v>2068.2</v>
      </c>
      <c r="N16" s="15">
        <v>2068.2</v>
      </c>
      <c r="O16" s="15">
        <v>2068.2</v>
      </c>
      <c r="P16" s="15">
        <v>2068.2</v>
      </c>
      <c r="Q16" s="15">
        <v>2300</v>
      </c>
      <c r="R16" s="15">
        <v>2300</v>
      </c>
      <c r="S16" s="15">
        <v>2300</v>
      </c>
      <c r="T16" s="16">
        <f t="shared" si="0"/>
        <v>25513.800000000003</v>
      </c>
      <c r="U16" s="17" t="s">
        <v>310</v>
      </c>
      <c r="V16" s="13" t="s">
        <v>121</v>
      </c>
    </row>
    <row r="17" spans="1:22" ht="15" customHeight="1">
      <c r="A17" s="11" t="s">
        <v>143</v>
      </c>
      <c r="B17" s="11" t="s">
        <v>145</v>
      </c>
      <c r="C17" s="12" t="s">
        <v>122</v>
      </c>
      <c r="D17" s="13" t="s">
        <v>123</v>
      </c>
      <c r="E17" s="14">
        <v>43435</v>
      </c>
      <c r="F17" s="18" t="s">
        <v>31</v>
      </c>
      <c r="G17" s="14">
        <v>45260</v>
      </c>
      <c r="H17" s="15">
        <v>252.54</v>
      </c>
      <c r="I17" s="15">
        <v>252.54</v>
      </c>
      <c r="J17" s="15">
        <v>252.54</v>
      </c>
      <c r="K17" s="15">
        <v>252.54</v>
      </c>
      <c r="L17" s="15">
        <v>252.54</v>
      </c>
      <c r="M17" s="15">
        <v>252.54</v>
      </c>
      <c r="N17" s="15">
        <v>252.54</v>
      </c>
      <c r="O17" s="15">
        <v>252.54</v>
      </c>
      <c r="P17" s="15">
        <v>252.54</v>
      </c>
      <c r="Q17" s="15">
        <v>252.54</v>
      </c>
      <c r="R17" s="15">
        <v>252.54</v>
      </c>
      <c r="S17" s="15">
        <v>252.54</v>
      </c>
      <c r="T17" s="16">
        <f t="shared" si="0"/>
        <v>3030.48</v>
      </c>
      <c r="U17" s="17" t="s">
        <v>311</v>
      </c>
      <c r="V17" s="13" t="s">
        <v>121</v>
      </c>
    </row>
    <row r="18" spans="1:22" ht="15" customHeight="1">
      <c r="A18" s="11" t="s">
        <v>143</v>
      </c>
      <c r="B18" s="11" t="s">
        <v>145</v>
      </c>
      <c r="C18" s="12" t="s">
        <v>378</v>
      </c>
      <c r="D18" s="13" t="s">
        <v>379</v>
      </c>
      <c r="E18" s="14">
        <v>43974</v>
      </c>
      <c r="F18" s="18" t="s">
        <v>358</v>
      </c>
      <c r="G18" s="14">
        <v>45078</v>
      </c>
      <c r="H18" s="15">
        <v>30746</v>
      </c>
      <c r="I18" s="15">
        <v>30746</v>
      </c>
      <c r="J18" s="15">
        <v>30746</v>
      </c>
      <c r="K18" s="15">
        <v>30746</v>
      </c>
      <c r="L18" s="15">
        <v>30746</v>
      </c>
      <c r="M18" s="15">
        <v>33206</v>
      </c>
      <c r="N18" s="15">
        <v>33206</v>
      </c>
      <c r="O18" s="15">
        <v>33206</v>
      </c>
      <c r="P18" s="15">
        <v>33206</v>
      </c>
      <c r="Q18" s="15">
        <v>33206</v>
      </c>
      <c r="R18" s="15">
        <v>33206</v>
      </c>
      <c r="S18" s="15">
        <v>33206</v>
      </c>
      <c r="T18" s="16">
        <f t="shared" si="0"/>
        <v>386172</v>
      </c>
      <c r="U18" s="17" t="s">
        <v>310</v>
      </c>
      <c r="V18" s="13" t="s">
        <v>121</v>
      </c>
    </row>
    <row r="19" spans="1:22" ht="15" customHeight="1">
      <c r="A19" s="11" t="s">
        <v>336</v>
      </c>
      <c r="B19" s="11" t="s">
        <v>145</v>
      </c>
      <c r="C19" s="12" t="s">
        <v>446</v>
      </c>
      <c r="D19" s="13" t="s">
        <v>449</v>
      </c>
      <c r="E19" s="14">
        <v>44461</v>
      </c>
      <c r="F19" s="12" t="s">
        <v>30</v>
      </c>
      <c r="G19" s="14">
        <v>44826</v>
      </c>
      <c r="H19" s="15">
        <v>344</v>
      </c>
      <c r="I19" s="15">
        <v>344</v>
      </c>
      <c r="J19" s="15">
        <v>344</v>
      </c>
      <c r="K19" s="15">
        <v>344</v>
      </c>
      <c r="L19" s="15">
        <v>344</v>
      </c>
      <c r="M19" s="15">
        <v>344</v>
      </c>
      <c r="N19" s="15">
        <v>344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0"/>
        <v>2408</v>
      </c>
      <c r="U19" s="17" t="s">
        <v>311</v>
      </c>
      <c r="V19" s="13" t="s">
        <v>121</v>
      </c>
    </row>
    <row r="20" spans="1:22" ht="15" customHeight="1">
      <c r="A20" s="11" t="s">
        <v>143</v>
      </c>
      <c r="B20" s="11" t="s">
        <v>145</v>
      </c>
      <c r="C20" s="12" t="s">
        <v>491</v>
      </c>
      <c r="D20" s="13" t="s">
        <v>492</v>
      </c>
      <c r="E20" s="14">
        <v>44783</v>
      </c>
      <c r="F20" s="12" t="s">
        <v>30</v>
      </c>
      <c r="G20" s="14">
        <v>45148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344</v>
      </c>
      <c r="P20" s="15">
        <v>344</v>
      </c>
      <c r="Q20" s="15">
        <v>375.96</v>
      </c>
      <c r="R20" s="15">
        <v>375.96</v>
      </c>
      <c r="S20" s="15">
        <f>82.71+293.25</f>
        <v>375.96</v>
      </c>
      <c r="T20" s="16">
        <f t="shared" si="0"/>
        <v>1815.88</v>
      </c>
      <c r="U20" s="17" t="s">
        <v>311</v>
      </c>
      <c r="V20" s="13" t="s">
        <v>121</v>
      </c>
    </row>
    <row r="21" spans="1:22" ht="15" customHeight="1">
      <c r="A21" s="11" t="s">
        <v>143</v>
      </c>
      <c r="B21" s="11" t="s">
        <v>145</v>
      </c>
      <c r="C21" s="12" t="s">
        <v>411</v>
      </c>
      <c r="D21" s="13" t="s">
        <v>412</v>
      </c>
      <c r="E21" s="14">
        <v>44098</v>
      </c>
      <c r="F21" s="18" t="s">
        <v>413</v>
      </c>
      <c r="G21" s="14">
        <v>44827</v>
      </c>
      <c r="H21" s="15">
        <v>885.06</v>
      </c>
      <c r="I21" s="15">
        <v>885.06</v>
      </c>
      <c r="J21" s="15">
        <v>885.06</v>
      </c>
      <c r="K21" s="15">
        <v>885.06</v>
      </c>
      <c r="L21" s="15">
        <v>885.06</v>
      </c>
      <c r="M21" s="15">
        <v>885.06</v>
      </c>
      <c r="N21" s="15">
        <v>885.06</v>
      </c>
      <c r="O21" s="15">
        <v>885.06</v>
      </c>
      <c r="P21" s="15">
        <v>885.06</v>
      </c>
      <c r="Q21" s="15">
        <v>885.06</v>
      </c>
      <c r="R21" s="15">
        <v>948.51</v>
      </c>
      <c r="S21" s="15">
        <v>948.51</v>
      </c>
      <c r="T21" s="16">
        <f>SUM(H21:S21)</f>
        <v>10747.619999999997</v>
      </c>
      <c r="U21" s="17" t="s">
        <v>414</v>
      </c>
      <c r="V21" s="13" t="s">
        <v>121</v>
      </c>
    </row>
    <row r="22" spans="1:22" ht="15" customHeight="1">
      <c r="A22" s="11" t="s">
        <v>143</v>
      </c>
      <c r="B22" s="11" t="s">
        <v>145</v>
      </c>
      <c r="C22" s="12" t="s">
        <v>463</v>
      </c>
      <c r="D22" s="13" t="s">
        <v>464</v>
      </c>
      <c r="E22" s="14">
        <v>44636</v>
      </c>
      <c r="F22" s="18" t="s">
        <v>485</v>
      </c>
      <c r="G22" s="14" t="s">
        <v>484</v>
      </c>
      <c r="H22" s="15">
        <v>0</v>
      </c>
      <c r="I22" s="15">
        <v>0</v>
      </c>
      <c r="J22" s="15">
        <v>0</v>
      </c>
      <c r="K22" s="15">
        <v>2256.77</v>
      </c>
      <c r="L22" s="15">
        <v>1611.85</v>
      </c>
      <c r="M22" s="15">
        <v>1735.07</v>
      </c>
      <c r="N22" s="15">
        <v>1903.56</v>
      </c>
      <c r="O22" s="15">
        <v>723.68</v>
      </c>
      <c r="P22" s="15">
        <v>1825.24</v>
      </c>
      <c r="Q22" s="15">
        <v>1887.28</v>
      </c>
      <c r="R22" s="15">
        <v>1757.23</v>
      </c>
      <c r="S22" s="15">
        <v>0</v>
      </c>
      <c r="T22" s="16">
        <f t="shared" si="0"/>
        <v>13700.68</v>
      </c>
      <c r="U22" s="17" t="s">
        <v>414</v>
      </c>
      <c r="V22" s="13" t="s">
        <v>121</v>
      </c>
    </row>
    <row r="23" spans="1:22" ht="15" customHeight="1">
      <c r="A23" s="81" t="s">
        <v>0</v>
      </c>
      <c r="B23" s="81"/>
      <c r="C23" s="81"/>
      <c r="D23" s="81"/>
      <c r="E23" s="81"/>
      <c r="F23" s="81"/>
      <c r="G23" s="81"/>
      <c r="H23" s="74">
        <f aca="true" t="shared" si="1" ref="H23:S23">SUM(H14:H22)</f>
        <v>35053.009999999995</v>
      </c>
      <c r="I23" s="74">
        <f t="shared" si="1"/>
        <v>35053.009999999995</v>
      </c>
      <c r="J23" s="74">
        <f t="shared" si="1"/>
        <v>35053.009999999995</v>
      </c>
      <c r="K23" s="74">
        <f t="shared" si="1"/>
        <v>37309.77999999999</v>
      </c>
      <c r="L23" s="74">
        <f t="shared" si="1"/>
        <v>36664.85999999999</v>
      </c>
      <c r="M23" s="74">
        <f t="shared" si="1"/>
        <v>39248.079999999994</v>
      </c>
      <c r="N23" s="74">
        <f t="shared" si="1"/>
        <v>39416.56999999999</v>
      </c>
      <c r="O23" s="74">
        <f t="shared" si="1"/>
        <v>38236.689999999995</v>
      </c>
      <c r="P23" s="74">
        <f t="shared" si="1"/>
        <v>39338.24999999999</v>
      </c>
      <c r="Q23" s="74">
        <f t="shared" si="1"/>
        <v>39664.049999999996</v>
      </c>
      <c r="R23" s="74">
        <f t="shared" si="1"/>
        <v>39597.450000000004</v>
      </c>
      <c r="S23" s="74">
        <f t="shared" si="1"/>
        <v>38800.22</v>
      </c>
      <c r="T23" s="16">
        <f t="shared" si="0"/>
        <v>453434.98</v>
      </c>
      <c r="U23" s="87"/>
      <c r="V23" s="87"/>
    </row>
    <row r="24" spans="1:22" ht="15" customHeight="1">
      <c r="A24" s="8"/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19"/>
      <c r="V24" s="19"/>
    </row>
    <row r="25" spans="1:22" s="21" customFormat="1" ht="15" customHeight="1">
      <c r="A25" s="83" t="s">
        <v>390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5"/>
    </row>
    <row r="26" spans="1:22" s="4" customFormat="1" ht="15" customHeight="1">
      <c r="A26" s="22" t="s">
        <v>143</v>
      </c>
      <c r="B26" s="22" t="s">
        <v>145</v>
      </c>
      <c r="C26" s="12" t="s">
        <v>4</v>
      </c>
      <c r="D26" s="23" t="s">
        <v>41</v>
      </c>
      <c r="E26" s="14">
        <v>43435</v>
      </c>
      <c r="F26" s="18" t="s">
        <v>11</v>
      </c>
      <c r="G26" s="14">
        <v>45260</v>
      </c>
      <c r="H26" s="15">
        <v>828.59</v>
      </c>
      <c r="I26" s="15">
        <v>828.59</v>
      </c>
      <c r="J26" s="15">
        <v>828.59</v>
      </c>
      <c r="K26" s="15">
        <v>828.59</v>
      </c>
      <c r="L26" s="15">
        <v>828.59</v>
      </c>
      <c r="M26" s="15">
        <v>828.59</v>
      </c>
      <c r="N26" s="15">
        <v>828.59</v>
      </c>
      <c r="O26" s="15">
        <v>828.59</v>
      </c>
      <c r="P26" s="15">
        <v>828.59</v>
      </c>
      <c r="Q26" s="15">
        <v>828.59</v>
      </c>
      <c r="R26" s="15">
        <v>828.59</v>
      </c>
      <c r="S26" s="15">
        <v>828.59</v>
      </c>
      <c r="T26" s="16">
        <f>SUM(H26:S26)</f>
        <v>9943.08</v>
      </c>
      <c r="U26" s="17" t="s">
        <v>312</v>
      </c>
      <c r="V26" s="23" t="s">
        <v>121</v>
      </c>
    </row>
    <row r="27" spans="1:22" ht="15" customHeight="1">
      <c r="A27" s="81" t="s">
        <v>0</v>
      </c>
      <c r="B27" s="81"/>
      <c r="C27" s="81"/>
      <c r="D27" s="81"/>
      <c r="E27" s="81"/>
      <c r="F27" s="81"/>
      <c r="G27" s="81"/>
      <c r="H27" s="74">
        <f aca="true" t="shared" si="2" ref="H27:S27">SUM(H26:H26)</f>
        <v>828.59</v>
      </c>
      <c r="I27" s="74">
        <f t="shared" si="2"/>
        <v>828.59</v>
      </c>
      <c r="J27" s="74">
        <f t="shared" si="2"/>
        <v>828.59</v>
      </c>
      <c r="K27" s="74">
        <f t="shared" si="2"/>
        <v>828.59</v>
      </c>
      <c r="L27" s="74">
        <f t="shared" si="2"/>
        <v>828.59</v>
      </c>
      <c r="M27" s="74">
        <f t="shared" si="2"/>
        <v>828.59</v>
      </c>
      <c r="N27" s="74">
        <f t="shared" si="2"/>
        <v>828.59</v>
      </c>
      <c r="O27" s="74">
        <f t="shared" si="2"/>
        <v>828.59</v>
      </c>
      <c r="P27" s="74">
        <f t="shared" si="2"/>
        <v>828.59</v>
      </c>
      <c r="Q27" s="74">
        <f t="shared" si="2"/>
        <v>828.59</v>
      </c>
      <c r="R27" s="74">
        <f t="shared" si="2"/>
        <v>828.59</v>
      </c>
      <c r="S27" s="74">
        <f t="shared" si="2"/>
        <v>828.59</v>
      </c>
      <c r="T27" s="16">
        <f>SUM(H27:S27)</f>
        <v>9943.08</v>
      </c>
      <c r="U27" s="87"/>
      <c r="V27" s="87"/>
    </row>
    <row r="28" spans="1:22" s="21" customFormat="1" ht="15" customHeight="1">
      <c r="A28" s="8"/>
      <c r="B28" s="8"/>
      <c r="C28" s="8"/>
      <c r="D28" s="8"/>
      <c r="E28" s="8"/>
      <c r="F28" s="8"/>
      <c r="G28" s="8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20"/>
      <c r="U28" s="20"/>
      <c r="V28" s="10"/>
    </row>
    <row r="29" spans="1:22" s="21" customFormat="1" ht="15" customHeight="1">
      <c r="A29" s="86" t="s">
        <v>391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5"/>
    </row>
    <row r="30" spans="1:22" ht="15" customHeight="1">
      <c r="A30" s="11" t="s">
        <v>336</v>
      </c>
      <c r="B30" s="11" t="s">
        <v>145</v>
      </c>
      <c r="C30" s="12" t="s">
        <v>380</v>
      </c>
      <c r="D30" s="13" t="s">
        <v>381</v>
      </c>
      <c r="E30" s="14">
        <v>43983</v>
      </c>
      <c r="F30" s="12" t="s">
        <v>382</v>
      </c>
      <c r="G30" s="14">
        <v>44593</v>
      </c>
      <c r="H30" s="15">
        <v>1770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>
        <f>SUM(H30:S30)</f>
        <v>1770</v>
      </c>
      <c r="U30" s="17" t="s">
        <v>307</v>
      </c>
      <c r="V30" s="13" t="s">
        <v>121</v>
      </c>
    </row>
    <row r="31" spans="1:22" ht="15" customHeight="1">
      <c r="A31" s="11" t="s">
        <v>336</v>
      </c>
      <c r="B31" s="11" t="s">
        <v>145</v>
      </c>
      <c r="C31" s="12" t="s">
        <v>208</v>
      </c>
      <c r="D31" s="13" t="s">
        <v>223</v>
      </c>
      <c r="E31" s="14">
        <v>43497</v>
      </c>
      <c r="F31" s="12" t="s">
        <v>215</v>
      </c>
      <c r="G31" s="14">
        <v>44873</v>
      </c>
      <c r="H31" s="15">
        <v>4545</v>
      </c>
      <c r="I31" s="15">
        <v>6450</v>
      </c>
      <c r="J31" s="15">
        <v>6375</v>
      </c>
      <c r="K31" s="15">
        <v>2167.5</v>
      </c>
      <c r="L31" s="15">
        <v>6995</v>
      </c>
      <c r="M31" s="15">
        <v>5740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aca="true" t="shared" si="3" ref="T31:T99">SUM(H31:S31)</f>
        <v>32272.5</v>
      </c>
      <c r="U31" s="17" t="s">
        <v>307</v>
      </c>
      <c r="V31" s="13" t="s">
        <v>121</v>
      </c>
    </row>
    <row r="32" spans="1:22" ht="15" customHeight="1">
      <c r="A32" s="11" t="s">
        <v>143</v>
      </c>
      <c r="B32" s="11" t="s">
        <v>145</v>
      </c>
      <c r="C32" s="12" t="s">
        <v>188</v>
      </c>
      <c r="D32" s="13" t="s">
        <v>105</v>
      </c>
      <c r="E32" s="14">
        <v>43435</v>
      </c>
      <c r="F32" s="12" t="s">
        <v>75</v>
      </c>
      <c r="G32" s="14">
        <v>45261</v>
      </c>
      <c r="H32" s="15">
        <v>3190</v>
      </c>
      <c r="I32" s="15">
        <v>2535</v>
      </c>
      <c r="J32" s="15">
        <v>3975</v>
      </c>
      <c r="K32" s="15">
        <v>3865</v>
      </c>
      <c r="L32" s="15">
        <v>3947.5</v>
      </c>
      <c r="M32" s="15">
        <v>3410</v>
      </c>
      <c r="N32" s="15">
        <v>4480</v>
      </c>
      <c r="O32" s="15">
        <v>4067.5</v>
      </c>
      <c r="P32" s="15">
        <v>4540</v>
      </c>
      <c r="Q32" s="15">
        <v>3980</v>
      </c>
      <c r="R32" s="15">
        <v>3350</v>
      </c>
      <c r="S32" s="15">
        <v>3080</v>
      </c>
      <c r="T32" s="16">
        <f t="shared" si="3"/>
        <v>44420</v>
      </c>
      <c r="U32" s="17" t="s">
        <v>307</v>
      </c>
      <c r="V32" s="13" t="s">
        <v>121</v>
      </c>
    </row>
    <row r="33" spans="1:22" ht="15" customHeight="1">
      <c r="A33" s="11" t="s">
        <v>143</v>
      </c>
      <c r="B33" s="11" t="s">
        <v>145</v>
      </c>
      <c r="C33" s="12" t="s">
        <v>458</v>
      </c>
      <c r="D33" s="13" t="s">
        <v>461</v>
      </c>
      <c r="E33" s="14">
        <v>44551</v>
      </c>
      <c r="F33" s="12" t="s">
        <v>75</v>
      </c>
      <c r="G33" s="14">
        <v>45261</v>
      </c>
      <c r="H33" s="15">
        <v>3420</v>
      </c>
      <c r="I33" s="15">
        <v>3330</v>
      </c>
      <c r="J33" s="15">
        <v>3060</v>
      </c>
      <c r="K33" s="15">
        <v>2287.5</v>
      </c>
      <c r="L33" s="15">
        <v>3922.5</v>
      </c>
      <c r="M33" s="15">
        <v>3060</v>
      </c>
      <c r="N33" s="15">
        <v>3120</v>
      </c>
      <c r="O33" s="15">
        <v>3772.5</v>
      </c>
      <c r="P33" s="15">
        <v>3420</v>
      </c>
      <c r="Q33" s="15">
        <v>2802</v>
      </c>
      <c r="R33" s="15">
        <v>1446</v>
      </c>
      <c r="S33" s="15">
        <v>2895</v>
      </c>
      <c r="T33" s="16">
        <f t="shared" si="3"/>
        <v>36535.5</v>
      </c>
      <c r="U33" s="17" t="s">
        <v>307</v>
      </c>
      <c r="V33" s="13" t="s">
        <v>121</v>
      </c>
    </row>
    <row r="34" spans="1:22" ht="15" customHeight="1">
      <c r="A34" s="11" t="s">
        <v>143</v>
      </c>
      <c r="B34" s="11" t="s">
        <v>145</v>
      </c>
      <c r="C34" s="12" t="s">
        <v>274</v>
      </c>
      <c r="D34" s="13" t="s">
        <v>275</v>
      </c>
      <c r="E34" s="14">
        <v>43685</v>
      </c>
      <c r="F34" s="12" t="s">
        <v>276</v>
      </c>
      <c r="G34" s="14">
        <v>45261</v>
      </c>
      <c r="H34" s="15">
        <f>5373.8+3149.5+66145.1</f>
        <v>74668.40000000001</v>
      </c>
      <c r="I34" s="15">
        <f>80363.25+9455.6+4224.15</f>
        <v>94043</v>
      </c>
      <c r="J34" s="15">
        <f>113791.05+7555.85+3520.5</f>
        <v>124867.40000000001</v>
      </c>
      <c r="K34" s="15">
        <f>5511.4+127061.45+1881.85</f>
        <v>134454.7</v>
      </c>
      <c r="L34" s="15">
        <f>143323.68+3052.5+1881.85+4952.3</f>
        <v>153210.33</v>
      </c>
      <c r="M34" s="15">
        <f>4020.5+140940.05+1965.9+3210.45</f>
        <v>150136.9</v>
      </c>
      <c r="N34" s="15">
        <f>130421.68+3891+3211.3+4427.5</f>
        <v>141951.47999999998</v>
      </c>
      <c r="O34" s="15">
        <f>6228.75+1780.1+4469.15+139621.55</f>
        <v>152099.55</v>
      </c>
      <c r="P34" s="15">
        <f>2002.85+5885+3649.9+174201.6</f>
        <v>185739.35</v>
      </c>
      <c r="Q34" s="15">
        <f>1338.9+5387.55+3049.75+40676.4</f>
        <v>50452.600000000006</v>
      </c>
      <c r="R34" s="15">
        <f>2769.25+54703.55+5187.9+1788.6</f>
        <v>64449.3</v>
      </c>
      <c r="S34" s="15">
        <f>4331.8+161920+4820.75+429</f>
        <v>171501.55</v>
      </c>
      <c r="T34" s="16">
        <f t="shared" si="3"/>
        <v>1497574.5600000003</v>
      </c>
      <c r="U34" s="17" t="s">
        <v>307</v>
      </c>
      <c r="V34" s="13" t="s">
        <v>121</v>
      </c>
    </row>
    <row r="35" spans="1:22" ht="15" customHeight="1">
      <c r="A35" s="11" t="s">
        <v>143</v>
      </c>
      <c r="B35" s="11" t="s">
        <v>145</v>
      </c>
      <c r="C35" s="12" t="s">
        <v>447</v>
      </c>
      <c r="D35" s="13" t="s">
        <v>450</v>
      </c>
      <c r="E35" s="14">
        <v>44484</v>
      </c>
      <c r="F35" s="12" t="s">
        <v>82</v>
      </c>
      <c r="G35" s="14">
        <v>45261</v>
      </c>
      <c r="H35" s="15">
        <v>1509.6</v>
      </c>
      <c r="I35" s="15">
        <v>1509.6</v>
      </c>
      <c r="J35" s="15">
        <v>2594.4</v>
      </c>
      <c r="K35" s="15">
        <v>2154.4</v>
      </c>
      <c r="L35" s="15">
        <v>1509.6</v>
      </c>
      <c r="M35" s="15">
        <v>1729.6</v>
      </c>
      <c r="N35" s="15">
        <v>1729.6</v>
      </c>
      <c r="O35" s="15">
        <v>1729.6</v>
      </c>
      <c r="P35" s="15">
        <v>1839.6</v>
      </c>
      <c r="Q35" s="15">
        <v>1729.6</v>
      </c>
      <c r="R35" s="15">
        <v>0</v>
      </c>
      <c r="S35" s="15">
        <v>716.88</v>
      </c>
      <c r="T35" s="16">
        <f t="shared" si="3"/>
        <v>18752.480000000003</v>
      </c>
      <c r="U35" s="17" t="s">
        <v>307</v>
      </c>
      <c r="V35" s="13" t="s">
        <v>121</v>
      </c>
    </row>
    <row r="36" spans="1:22" ht="15" customHeight="1">
      <c r="A36" s="11" t="s">
        <v>336</v>
      </c>
      <c r="B36" s="11" t="s">
        <v>145</v>
      </c>
      <c r="C36" s="12" t="s">
        <v>422</v>
      </c>
      <c r="D36" s="13" t="s">
        <v>335</v>
      </c>
      <c r="E36" s="14">
        <v>43867</v>
      </c>
      <c r="F36" s="12" t="s">
        <v>76</v>
      </c>
      <c r="G36" s="14">
        <v>44870</v>
      </c>
      <c r="H36" s="15">
        <v>596.8</v>
      </c>
      <c r="I36" s="15">
        <v>1625.4</v>
      </c>
      <c r="J36" s="15">
        <v>0</v>
      </c>
      <c r="K36" s="15">
        <v>1083.6</v>
      </c>
      <c r="L36" s="15">
        <v>0</v>
      </c>
      <c r="M36" s="15">
        <v>706.8</v>
      </c>
      <c r="N36" s="15"/>
      <c r="O36" s="15">
        <v>0</v>
      </c>
      <c r="P36" s="15">
        <v>0</v>
      </c>
      <c r="Q36" s="15">
        <v>0</v>
      </c>
      <c r="R36" s="15">
        <v>0</v>
      </c>
      <c r="S36" s="15"/>
      <c r="T36" s="16">
        <f t="shared" si="3"/>
        <v>4012.5999999999995</v>
      </c>
      <c r="U36" s="17" t="s">
        <v>307</v>
      </c>
      <c r="V36" s="13" t="s">
        <v>121</v>
      </c>
    </row>
    <row r="37" spans="1:22" ht="15" customHeight="1">
      <c r="A37" s="11" t="s">
        <v>143</v>
      </c>
      <c r="B37" s="11" t="s">
        <v>145</v>
      </c>
      <c r="C37" s="12" t="s">
        <v>189</v>
      </c>
      <c r="D37" s="13" t="s">
        <v>160</v>
      </c>
      <c r="E37" s="14">
        <v>43435</v>
      </c>
      <c r="F37" s="12" t="s">
        <v>70</v>
      </c>
      <c r="G37" s="14">
        <v>45261</v>
      </c>
      <c r="H37" s="15">
        <v>9440</v>
      </c>
      <c r="I37" s="15">
        <v>5475</v>
      </c>
      <c r="J37" s="15">
        <v>11045</v>
      </c>
      <c r="K37" s="15">
        <v>6140</v>
      </c>
      <c r="L37" s="15">
        <v>7145</v>
      </c>
      <c r="M37" s="15">
        <v>5855</v>
      </c>
      <c r="N37" s="15">
        <v>5635</v>
      </c>
      <c r="O37" s="15">
        <v>7230</v>
      </c>
      <c r="P37" s="15">
        <v>5775</v>
      </c>
      <c r="Q37" s="15">
        <v>6015</v>
      </c>
      <c r="R37" s="15">
        <v>4299.95</v>
      </c>
      <c r="S37" s="15">
        <v>5990</v>
      </c>
      <c r="T37" s="16">
        <f t="shared" si="3"/>
        <v>80044.95</v>
      </c>
      <c r="U37" s="17" t="s">
        <v>307</v>
      </c>
      <c r="V37" s="13" t="s">
        <v>121</v>
      </c>
    </row>
    <row r="38" spans="1:22" ht="30" customHeight="1">
      <c r="A38" s="11" t="s">
        <v>336</v>
      </c>
      <c r="B38" s="11" t="s">
        <v>145</v>
      </c>
      <c r="C38" s="12" t="s">
        <v>190</v>
      </c>
      <c r="D38" s="23" t="s">
        <v>42</v>
      </c>
      <c r="E38" s="14">
        <v>43435</v>
      </c>
      <c r="F38" s="12" t="s">
        <v>151</v>
      </c>
      <c r="G38" s="14">
        <v>44680</v>
      </c>
      <c r="H38" s="15">
        <f>7360+690</f>
        <v>8050</v>
      </c>
      <c r="I38" s="15">
        <f>925+3315</f>
        <v>4240</v>
      </c>
      <c r="J38" s="15">
        <f>6170+910</f>
        <v>7080</v>
      </c>
      <c r="K38" s="15">
        <f>675+6170</f>
        <v>6845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/>
      <c r="T38" s="16">
        <f t="shared" si="3"/>
        <v>26215</v>
      </c>
      <c r="U38" s="17" t="s">
        <v>307</v>
      </c>
      <c r="V38" s="23" t="s">
        <v>121</v>
      </c>
    </row>
    <row r="39" spans="1:22" ht="30" customHeight="1">
      <c r="A39" s="11" t="s">
        <v>336</v>
      </c>
      <c r="B39" s="11" t="s">
        <v>145</v>
      </c>
      <c r="C39" s="12" t="s">
        <v>498</v>
      </c>
      <c r="D39" s="23" t="s">
        <v>499</v>
      </c>
      <c r="E39" s="14">
        <v>44753</v>
      </c>
      <c r="F39" s="12" t="s">
        <v>500</v>
      </c>
      <c r="G39" s="14">
        <v>44888</v>
      </c>
      <c r="H39" s="15"/>
      <c r="I39" s="15"/>
      <c r="J39" s="15"/>
      <c r="K39" s="15"/>
      <c r="L39" s="15"/>
      <c r="M39" s="15"/>
      <c r="N39" s="15"/>
      <c r="O39" s="15">
        <v>0</v>
      </c>
      <c r="P39" s="15">
        <v>0</v>
      </c>
      <c r="Q39" s="15">
        <v>0</v>
      </c>
      <c r="R39" s="15">
        <v>3575.04</v>
      </c>
      <c r="S39" s="15">
        <v>0</v>
      </c>
      <c r="T39" s="16">
        <f t="shared" si="3"/>
        <v>3575.04</v>
      </c>
      <c r="U39" s="17" t="s">
        <v>307</v>
      </c>
      <c r="V39" s="23" t="s">
        <v>121</v>
      </c>
    </row>
    <row r="40" spans="1:22" ht="15" customHeight="1">
      <c r="A40" s="11" t="s">
        <v>336</v>
      </c>
      <c r="B40" s="11" t="s">
        <v>145</v>
      </c>
      <c r="C40" s="12" t="s">
        <v>339</v>
      </c>
      <c r="D40" s="23" t="s">
        <v>344</v>
      </c>
      <c r="E40" s="14">
        <v>43911</v>
      </c>
      <c r="F40" s="12" t="s">
        <v>284</v>
      </c>
      <c r="G40" s="14">
        <v>44741</v>
      </c>
      <c r="H40" s="15">
        <v>1320</v>
      </c>
      <c r="I40" s="15">
        <v>0</v>
      </c>
      <c r="J40" s="15">
        <v>0</v>
      </c>
      <c r="K40" s="15">
        <v>0</v>
      </c>
      <c r="L40" s="15">
        <v>0</v>
      </c>
      <c r="M40" s="15"/>
      <c r="N40" s="15"/>
      <c r="O40" s="15">
        <v>0</v>
      </c>
      <c r="P40" s="15">
        <v>0</v>
      </c>
      <c r="Q40" s="15">
        <v>0</v>
      </c>
      <c r="R40" s="15">
        <v>0</v>
      </c>
      <c r="S40" s="15"/>
      <c r="T40" s="16">
        <f t="shared" si="3"/>
        <v>1320</v>
      </c>
      <c r="U40" s="17" t="s">
        <v>307</v>
      </c>
      <c r="V40" s="23" t="s">
        <v>121</v>
      </c>
    </row>
    <row r="41" spans="1:22" ht="15" customHeight="1">
      <c r="A41" s="11" t="s">
        <v>143</v>
      </c>
      <c r="B41" s="11" t="s">
        <v>145</v>
      </c>
      <c r="C41" s="12" t="s">
        <v>481</v>
      </c>
      <c r="D41" s="23" t="s">
        <v>486</v>
      </c>
      <c r="E41" s="14">
        <v>44683</v>
      </c>
      <c r="F41" s="12" t="s">
        <v>150</v>
      </c>
      <c r="G41" s="14">
        <v>45261</v>
      </c>
      <c r="H41" s="15">
        <v>0</v>
      </c>
      <c r="I41" s="15">
        <v>0</v>
      </c>
      <c r="J41" s="15">
        <v>0</v>
      </c>
      <c r="K41" s="15">
        <v>0</v>
      </c>
      <c r="L41" s="15">
        <f>6705+895</f>
        <v>7600</v>
      </c>
      <c r="M41" s="15">
        <f>3300+690</f>
        <v>3990</v>
      </c>
      <c r="N41" s="15">
        <f>2200+895</f>
        <v>3095</v>
      </c>
      <c r="O41" s="15">
        <f>1130+5070</f>
        <v>6200</v>
      </c>
      <c r="P41" s="15">
        <f>2890+455</f>
        <v>3345</v>
      </c>
      <c r="Q41" s="15">
        <f>3170+675</f>
        <v>3845</v>
      </c>
      <c r="R41" s="15">
        <f>925+1365</f>
        <v>2290</v>
      </c>
      <c r="S41" s="15">
        <f>690+1995</f>
        <v>2685</v>
      </c>
      <c r="T41" s="16">
        <f t="shared" si="3"/>
        <v>33050</v>
      </c>
      <c r="U41" s="17" t="s">
        <v>307</v>
      </c>
      <c r="V41" s="23" t="s">
        <v>121</v>
      </c>
    </row>
    <row r="42" spans="1:22" ht="15" customHeight="1">
      <c r="A42" s="11" t="s">
        <v>143</v>
      </c>
      <c r="B42" s="11" t="s">
        <v>145</v>
      </c>
      <c r="C42" s="12" t="s">
        <v>225</v>
      </c>
      <c r="D42" s="13" t="s">
        <v>176</v>
      </c>
      <c r="E42" s="14">
        <v>43435</v>
      </c>
      <c r="F42" s="12" t="s">
        <v>177</v>
      </c>
      <c r="G42" s="14">
        <v>44870</v>
      </c>
      <c r="H42" s="15">
        <v>13905</v>
      </c>
      <c r="I42" s="15">
        <v>14045</v>
      </c>
      <c r="J42" s="15">
        <v>18532.5</v>
      </c>
      <c r="K42" s="15">
        <v>14220</v>
      </c>
      <c r="L42" s="15">
        <v>17712.5</v>
      </c>
      <c r="M42" s="15">
        <v>13292.5</v>
      </c>
      <c r="N42" s="15">
        <v>14490</v>
      </c>
      <c r="O42" s="15">
        <v>16310</v>
      </c>
      <c r="P42" s="15">
        <v>16530</v>
      </c>
      <c r="Q42" s="15">
        <v>15400</v>
      </c>
      <c r="R42" s="15">
        <v>14167.5</v>
      </c>
      <c r="S42" s="15">
        <v>11505</v>
      </c>
      <c r="T42" s="16">
        <f t="shared" si="3"/>
        <v>180110</v>
      </c>
      <c r="U42" s="17" t="s">
        <v>307</v>
      </c>
      <c r="V42" s="13" t="s">
        <v>121</v>
      </c>
    </row>
    <row r="43" spans="1:22" ht="15" customHeight="1">
      <c r="A43" s="11" t="s">
        <v>336</v>
      </c>
      <c r="B43" s="11" t="s">
        <v>145</v>
      </c>
      <c r="C43" s="12" t="s">
        <v>479</v>
      </c>
      <c r="D43" s="13" t="s">
        <v>482</v>
      </c>
      <c r="E43" s="14">
        <v>44623</v>
      </c>
      <c r="F43" s="12" t="s">
        <v>483</v>
      </c>
      <c r="G43" s="14">
        <v>44896</v>
      </c>
      <c r="H43" s="15">
        <v>0</v>
      </c>
      <c r="I43" s="15">
        <v>0</v>
      </c>
      <c r="J43" s="15">
        <v>0</v>
      </c>
      <c r="K43" s="15">
        <f>5140+9185</f>
        <v>14325</v>
      </c>
      <c r="L43" s="15">
        <v>7255</v>
      </c>
      <c r="M43" s="15">
        <v>7670</v>
      </c>
      <c r="N43" s="15">
        <v>9650</v>
      </c>
      <c r="O43" s="15">
        <v>8840</v>
      </c>
      <c r="P43" s="15">
        <v>11310</v>
      </c>
      <c r="Q43" s="15">
        <v>8780</v>
      </c>
      <c r="R43" s="15">
        <v>0</v>
      </c>
      <c r="S43" s="15">
        <v>0</v>
      </c>
      <c r="T43" s="16">
        <f t="shared" si="3"/>
        <v>67830</v>
      </c>
      <c r="U43" s="17" t="s">
        <v>307</v>
      </c>
      <c r="V43" s="13" t="s">
        <v>121</v>
      </c>
    </row>
    <row r="44" spans="1:22" ht="15" customHeight="1">
      <c r="A44" s="11" t="s">
        <v>143</v>
      </c>
      <c r="B44" s="11" t="s">
        <v>145</v>
      </c>
      <c r="C44" s="12" t="s">
        <v>227</v>
      </c>
      <c r="D44" s="23" t="s">
        <v>43</v>
      </c>
      <c r="E44" s="14">
        <v>43435</v>
      </c>
      <c r="F44" s="12" t="s">
        <v>69</v>
      </c>
      <c r="G44" s="14">
        <v>45261</v>
      </c>
      <c r="H44" s="15">
        <f>12216.66+2520</f>
        <v>14736.66</v>
      </c>
      <c r="I44" s="15">
        <f>9390+2270</f>
        <v>11660</v>
      </c>
      <c r="J44" s="15">
        <f>2505+9702.5</f>
        <v>12207.5</v>
      </c>
      <c r="K44" s="15">
        <f>2545+12460</f>
        <v>15005</v>
      </c>
      <c r="L44" s="15">
        <f>14202.5+3120</f>
        <v>17322.5</v>
      </c>
      <c r="M44" s="15">
        <f>16287.5+2405</f>
        <v>18692.5</v>
      </c>
      <c r="N44" s="15">
        <f>3960+17197.5</f>
        <v>21157.5</v>
      </c>
      <c r="O44" s="15">
        <f>4845+18237.5</f>
        <v>23082.5</v>
      </c>
      <c r="P44" s="15">
        <f>18860+4140</f>
        <v>23000</v>
      </c>
      <c r="Q44" s="15">
        <f>2630+12240</f>
        <v>14870</v>
      </c>
      <c r="R44" s="15">
        <f>2410+10514.99</f>
        <v>12924.99</v>
      </c>
      <c r="S44" s="15">
        <f>2350+7310.83</f>
        <v>9660.83</v>
      </c>
      <c r="T44" s="16">
        <f t="shared" si="3"/>
        <v>194319.97999999998</v>
      </c>
      <c r="U44" s="17" t="s">
        <v>307</v>
      </c>
      <c r="V44" s="23" t="s">
        <v>121</v>
      </c>
    </row>
    <row r="45" spans="1:22" ht="15" customHeight="1">
      <c r="A45" s="11" t="s">
        <v>143</v>
      </c>
      <c r="B45" s="11" t="s">
        <v>145</v>
      </c>
      <c r="C45" s="12" t="s">
        <v>471</v>
      </c>
      <c r="D45" s="23" t="s">
        <v>473</v>
      </c>
      <c r="E45" s="14">
        <v>44623</v>
      </c>
      <c r="F45" s="12" t="s">
        <v>76</v>
      </c>
      <c r="G45" s="14">
        <v>45261</v>
      </c>
      <c r="H45" s="15">
        <v>0</v>
      </c>
      <c r="I45" s="15">
        <v>0</v>
      </c>
      <c r="J45" s="15">
        <v>1320</v>
      </c>
      <c r="K45" s="15">
        <v>2200</v>
      </c>
      <c r="L45" s="15">
        <v>3547.5</v>
      </c>
      <c r="M45" s="15">
        <v>5060</v>
      </c>
      <c r="N45" s="15">
        <v>4510</v>
      </c>
      <c r="O45" s="15">
        <v>7452.5</v>
      </c>
      <c r="P45" s="15">
        <v>330</v>
      </c>
      <c r="Q45" s="15">
        <v>3960</v>
      </c>
      <c r="R45" s="15">
        <v>4840</v>
      </c>
      <c r="S45" s="15">
        <v>3630</v>
      </c>
      <c r="T45" s="16">
        <f t="shared" si="3"/>
        <v>36850</v>
      </c>
      <c r="U45" s="17" t="s">
        <v>307</v>
      </c>
      <c r="V45" s="23" t="s">
        <v>121</v>
      </c>
    </row>
    <row r="46" spans="1:22" ht="15" customHeight="1">
      <c r="A46" s="11" t="s">
        <v>143</v>
      </c>
      <c r="B46" s="11" t="s">
        <v>145</v>
      </c>
      <c r="C46" s="12" t="s">
        <v>228</v>
      </c>
      <c r="D46" s="13" t="s">
        <v>175</v>
      </c>
      <c r="E46" s="14">
        <v>43435</v>
      </c>
      <c r="F46" s="12" t="s">
        <v>82</v>
      </c>
      <c r="G46" s="14">
        <v>45261</v>
      </c>
      <c r="H46" s="15">
        <v>12306.67</v>
      </c>
      <c r="I46" s="15">
        <v>11500</v>
      </c>
      <c r="J46" s="15">
        <v>15863.33</v>
      </c>
      <c r="K46" s="15">
        <v>6623.33</v>
      </c>
      <c r="L46" s="15">
        <v>17220</v>
      </c>
      <c r="M46" s="15">
        <v>16633.33</v>
      </c>
      <c r="N46" s="15">
        <v>16450</v>
      </c>
      <c r="O46" s="15">
        <v>18393.33</v>
      </c>
      <c r="P46" s="15">
        <v>15386.67</v>
      </c>
      <c r="Q46" s="15">
        <v>7430</v>
      </c>
      <c r="R46" s="15">
        <v>13443.33</v>
      </c>
      <c r="S46" s="15">
        <v>7540</v>
      </c>
      <c r="T46" s="16">
        <f t="shared" si="3"/>
        <v>158789.99</v>
      </c>
      <c r="U46" s="17" t="s">
        <v>307</v>
      </c>
      <c r="V46" s="13" t="s">
        <v>121</v>
      </c>
    </row>
    <row r="47" spans="1:22" ht="15" customHeight="1">
      <c r="A47" s="11" t="s">
        <v>143</v>
      </c>
      <c r="B47" s="11" t="s">
        <v>145</v>
      </c>
      <c r="C47" s="12" t="s">
        <v>229</v>
      </c>
      <c r="D47" s="13" t="s">
        <v>46</v>
      </c>
      <c r="E47" s="14">
        <v>43435</v>
      </c>
      <c r="F47" s="12" t="s">
        <v>76</v>
      </c>
      <c r="G47" s="14">
        <v>45261</v>
      </c>
      <c r="H47" s="15">
        <f>2566.66+440</f>
        <v>3006.66</v>
      </c>
      <c r="I47" s="15">
        <f>440+2200</f>
        <v>2640</v>
      </c>
      <c r="J47" s="15">
        <f>440+2200</f>
        <v>2640</v>
      </c>
      <c r="K47" s="15">
        <v>2200</v>
      </c>
      <c r="L47" s="15">
        <v>2200</v>
      </c>
      <c r="M47" s="15">
        <v>2200</v>
      </c>
      <c r="N47" s="15">
        <f>2200</f>
        <v>2200</v>
      </c>
      <c r="O47" s="15">
        <v>2200</v>
      </c>
      <c r="P47" s="15">
        <v>2200</v>
      </c>
      <c r="Q47" s="15">
        <v>2200</v>
      </c>
      <c r="R47" s="15">
        <v>3574.99</v>
      </c>
      <c r="S47" s="15">
        <v>2520.83</v>
      </c>
      <c r="T47" s="16">
        <f t="shared" si="3"/>
        <v>29782.480000000003</v>
      </c>
      <c r="U47" s="17" t="s">
        <v>307</v>
      </c>
      <c r="V47" s="13" t="s">
        <v>121</v>
      </c>
    </row>
    <row r="48" spans="1:22" ht="15" customHeight="1">
      <c r="A48" s="11" t="s">
        <v>143</v>
      </c>
      <c r="B48" s="11" t="s">
        <v>145</v>
      </c>
      <c r="C48" s="12" t="s">
        <v>230</v>
      </c>
      <c r="D48" s="13" t="s">
        <v>153</v>
      </c>
      <c r="E48" s="14">
        <v>43435</v>
      </c>
      <c r="F48" s="12" t="s">
        <v>154</v>
      </c>
      <c r="G48" s="14">
        <v>45261</v>
      </c>
      <c r="H48" s="15">
        <v>17923</v>
      </c>
      <c r="I48" s="15">
        <v>18272</v>
      </c>
      <c r="J48" s="15">
        <v>21900.5</v>
      </c>
      <c r="K48" s="15">
        <v>23364</v>
      </c>
      <c r="L48" s="15">
        <v>23823.5</v>
      </c>
      <c r="M48" s="15">
        <v>22764</v>
      </c>
      <c r="N48" s="15">
        <v>20119.5</v>
      </c>
      <c r="O48" s="15">
        <v>19907.5</v>
      </c>
      <c r="P48" s="15">
        <v>20693.5</v>
      </c>
      <c r="Q48" s="15">
        <v>17770</v>
      </c>
      <c r="R48" s="15">
        <v>16449.5</v>
      </c>
      <c r="S48" s="15">
        <v>20287</v>
      </c>
      <c r="T48" s="16">
        <f t="shared" si="3"/>
        <v>243274</v>
      </c>
      <c r="U48" s="17" t="s">
        <v>307</v>
      </c>
      <c r="V48" s="13" t="s">
        <v>121</v>
      </c>
    </row>
    <row r="49" spans="1:22" ht="15" customHeight="1">
      <c r="A49" s="11" t="s">
        <v>336</v>
      </c>
      <c r="B49" s="11" t="s">
        <v>145</v>
      </c>
      <c r="C49" s="12" t="s">
        <v>231</v>
      </c>
      <c r="D49" s="13" t="s">
        <v>44</v>
      </c>
      <c r="E49" s="14">
        <v>43435</v>
      </c>
      <c r="F49" s="12" t="s">
        <v>115</v>
      </c>
      <c r="G49" s="14">
        <v>44804</v>
      </c>
      <c r="H49" s="15">
        <f>766.8+746.67</f>
        <v>1513.4699999999998</v>
      </c>
      <c r="I49" s="15">
        <v>736.8</v>
      </c>
      <c r="J49" s="15">
        <f>736.8</f>
        <v>736.8</v>
      </c>
      <c r="K49" s="15">
        <v>736.8</v>
      </c>
      <c r="L49" s="15">
        <v>636.8</v>
      </c>
      <c r="M49" s="15">
        <v>440</v>
      </c>
      <c r="N49" s="15">
        <v>0</v>
      </c>
      <c r="O49" s="15">
        <v>540</v>
      </c>
      <c r="P49" s="15">
        <v>0</v>
      </c>
      <c r="Q49" s="15">
        <v>0</v>
      </c>
      <c r="R49" s="15">
        <v>0</v>
      </c>
      <c r="S49" s="15"/>
      <c r="T49" s="16">
        <f t="shared" si="3"/>
        <v>5340.67</v>
      </c>
      <c r="U49" s="17" t="s">
        <v>307</v>
      </c>
      <c r="V49" s="13" t="s">
        <v>121</v>
      </c>
    </row>
    <row r="50" spans="1:22" ht="15" customHeight="1">
      <c r="A50" s="11" t="s">
        <v>143</v>
      </c>
      <c r="B50" s="11" t="s">
        <v>145</v>
      </c>
      <c r="C50" s="12" t="s">
        <v>294</v>
      </c>
      <c r="D50" s="13" t="s">
        <v>295</v>
      </c>
      <c r="E50" s="14">
        <v>43802</v>
      </c>
      <c r="F50" s="12" t="s">
        <v>75</v>
      </c>
      <c r="G50" s="14">
        <v>45261</v>
      </c>
      <c r="H50" s="15">
        <v>6435</v>
      </c>
      <c r="I50" s="15">
        <v>7782.5</v>
      </c>
      <c r="J50" s="15">
        <v>9435</v>
      </c>
      <c r="K50" s="15">
        <v>7562.5</v>
      </c>
      <c r="L50" s="15">
        <v>10010</v>
      </c>
      <c r="M50" s="15">
        <v>8030</v>
      </c>
      <c r="N50" s="15">
        <v>7837.5</v>
      </c>
      <c r="O50" s="15">
        <v>10205</v>
      </c>
      <c r="P50" s="15">
        <v>9872.5</v>
      </c>
      <c r="Q50" s="15">
        <v>9542.5</v>
      </c>
      <c r="R50" s="15">
        <v>8277.5</v>
      </c>
      <c r="S50" s="15">
        <v>9735</v>
      </c>
      <c r="T50" s="16">
        <f t="shared" si="3"/>
        <v>104725</v>
      </c>
      <c r="U50" s="17" t="s">
        <v>307</v>
      </c>
      <c r="V50" s="13" t="s">
        <v>121</v>
      </c>
    </row>
    <row r="51" spans="1:22" ht="15" customHeight="1">
      <c r="A51" s="11" t="s">
        <v>143</v>
      </c>
      <c r="B51" s="11" t="s">
        <v>145</v>
      </c>
      <c r="C51" s="12" t="s">
        <v>232</v>
      </c>
      <c r="D51" s="13" t="s">
        <v>47</v>
      </c>
      <c r="E51" s="14">
        <v>43435</v>
      </c>
      <c r="F51" s="12" t="s">
        <v>75</v>
      </c>
      <c r="G51" s="14">
        <v>45261</v>
      </c>
      <c r="H51" s="15">
        <v>15992.5</v>
      </c>
      <c r="I51" s="15">
        <v>17007.5</v>
      </c>
      <c r="J51" s="15">
        <v>17400</v>
      </c>
      <c r="K51" s="15">
        <v>15570</v>
      </c>
      <c r="L51" s="15">
        <v>18550</v>
      </c>
      <c r="M51" s="15">
        <v>17757.5</v>
      </c>
      <c r="N51" s="15">
        <v>16895</v>
      </c>
      <c r="O51" s="15">
        <v>18800</v>
      </c>
      <c r="P51" s="15">
        <v>17890</v>
      </c>
      <c r="Q51" s="15">
        <v>17097.5</v>
      </c>
      <c r="R51" s="15">
        <v>16350</v>
      </c>
      <c r="S51" s="15">
        <v>14217.5</v>
      </c>
      <c r="T51" s="16">
        <f t="shared" si="3"/>
        <v>203527.5</v>
      </c>
      <c r="U51" s="17" t="s">
        <v>307</v>
      </c>
      <c r="V51" s="13" t="s">
        <v>121</v>
      </c>
    </row>
    <row r="52" spans="1:22" ht="15" customHeight="1">
      <c r="A52" s="11" t="s">
        <v>143</v>
      </c>
      <c r="B52" s="11" t="s">
        <v>145</v>
      </c>
      <c r="C52" s="12" t="s">
        <v>292</v>
      </c>
      <c r="D52" s="13" t="s">
        <v>297</v>
      </c>
      <c r="E52" s="14">
        <v>43780</v>
      </c>
      <c r="F52" s="12" t="s">
        <v>298</v>
      </c>
      <c r="G52" s="14">
        <v>45261</v>
      </c>
      <c r="H52" s="15">
        <v>16830</v>
      </c>
      <c r="I52" s="15">
        <v>21080</v>
      </c>
      <c r="J52" s="15">
        <v>19040</v>
      </c>
      <c r="K52" s="15">
        <v>22610</v>
      </c>
      <c r="L52" s="15">
        <v>21080</v>
      </c>
      <c r="M52" s="15">
        <v>21760</v>
      </c>
      <c r="N52" s="15">
        <v>22780</v>
      </c>
      <c r="O52" s="15">
        <v>21760</v>
      </c>
      <c r="P52" s="15">
        <v>20740</v>
      </c>
      <c r="Q52" s="15">
        <v>13600</v>
      </c>
      <c r="R52" s="15">
        <v>13600</v>
      </c>
      <c r="S52" s="15">
        <v>15130</v>
      </c>
      <c r="T52" s="16">
        <f t="shared" si="3"/>
        <v>230010</v>
      </c>
      <c r="U52" s="17" t="s">
        <v>307</v>
      </c>
      <c r="V52" s="13" t="s">
        <v>121</v>
      </c>
    </row>
    <row r="53" spans="1:22" ht="15" customHeight="1">
      <c r="A53" s="11" t="s">
        <v>143</v>
      </c>
      <c r="B53" s="11" t="s">
        <v>145</v>
      </c>
      <c r="C53" s="12" t="s">
        <v>136</v>
      </c>
      <c r="D53" s="13" t="s">
        <v>137</v>
      </c>
      <c r="E53" s="14">
        <v>43435</v>
      </c>
      <c r="F53" s="12" t="s">
        <v>139</v>
      </c>
      <c r="G53" s="14">
        <v>45261</v>
      </c>
      <c r="H53" s="15">
        <v>9180</v>
      </c>
      <c r="I53" s="15">
        <v>8120</v>
      </c>
      <c r="J53" s="15">
        <v>15322.5</v>
      </c>
      <c r="K53" s="15">
        <v>10115</v>
      </c>
      <c r="L53" s="15">
        <v>8077.5</v>
      </c>
      <c r="M53" s="15">
        <v>8837.5</v>
      </c>
      <c r="N53" s="15">
        <v>8762.5</v>
      </c>
      <c r="O53" s="15">
        <v>7747.5</v>
      </c>
      <c r="P53" s="15">
        <v>7770</v>
      </c>
      <c r="Q53" s="15">
        <v>4990</v>
      </c>
      <c r="R53" s="15">
        <v>4440</v>
      </c>
      <c r="S53" s="15">
        <v>4930</v>
      </c>
      <c r="T53" s="16">
        <f t="shared" si="3"/>
        <v>98292.5</v>
      </c>
      <c r="U53" s="17" t="s">
        <v>307</v>
      </c>
      <c r="V53" s="13" t="s">
        <v>121</v>
      </c>
    </row>
    <row r="54" spans="1:22" ht="15" customHeight="1">
      <c r="A54" s="11" t="s">
        <v>143</v>
      </c>
      <c r="B54" s="11" t="s">
        <v>145</v>
      </c>
      <c r="C54" s="12" t="s">
        <v>233</v>
      </c>
      <c r="D54" s="23" t="s">
        <v>48</v>
      </c>
      <c r="E54" s="14">
        <v>43435</v>
      </c>
      <c r="F54" s="12" t="s">
        <v>69</v>
      </c>
      <c r="G54" s="14">
        <v>45261</v>
      </c>
      <c r="H54" s="15">
        <v>3570</v>
      </c>
      <c r="I54" s="15">
        <v>3850</v>
      </c>
      <c r="J54" s="15">
        <v>4220</v>
      </c>
      <c r="K54" s="15">
        <v>3940</v>
      </c>
      <c r="L54" s="15">
        <v>3690</v>
      </c>
      <c r="M54" s="15">
        <v>4040</v>
      </c>
      <c r="N54" s="15">
        <v>4370</v>
      </c>
      <c r="O54" s="15">
        <v>4270</v>
      </c>
      <c r="P54" s="15">
        <v>4340</v>
      </c>
      <c r="Q54" s="15">
        <v>4500</v>
      </c>
      <c r="R54" s="15">
        <v>4130</v>
      </c>
      <c r="S54" s="15">
        <v>3970</v>
      </c>
      <c r="T54" s="16">
        <f t="shared" si="3"/>
        <v>48890</v>
      </c>
      <c r="U54" s="17" t="s">
        <v>307</v>
      </c>
      <c r="V54" s="23" t="s">
        <v>121</v>
      </c>
    </row>
    <row r="55" spans="1:23" ht="15" customHeight="1">
      <c r="A55" s="11" t="s">
        <v>143</v>
      </c>
      <c r="B55" s="11" t="s">
        <v>145</v>
      </c>
      <c r="C55" s="12" t="s">
        <v>279</v>
      </c>
      <c r="D55" s="23" t="s">
        <v>280</v>
      </c>
      <c r="E55" s="14">
        <v>43320</v>
      </c>
      <c r="F55" s="12" t="s">
        <v>281</v>
      </c>
      <c r="G55" s="14">
        <v>45261</v>
      </c>
      <c r="H55" s="15">
        <v>1100</v>
      </c>
      <c r="I55" s="15">
        <v>2200</v>
      </c>
      <c r="J55" s="15">
        <v>2200</v>
      </c>
      <c r="K55" s="15">
        <v>2310</v>
      </c>
      <c r="L55" s="15">
        <v>2805</v>
      </c>
      <c r="M55" s="15">
        <v>1650</v>
      </c>
      <c r="N55" s="15">
        <v>2200</v>
      </c>
      <c r="O55" s="15">
        <v>2200</v>
      </c>
      <c r="P55" s="15">
        <v>1650</v>
      </c>
      <c r="Q55" s="15">
        <v>2200</v>
      </c>
      <c r="R55" s="15">
        <v>2420</v>
      </c>
      <c r="S55" s="15"/>
      <c r="T55" s="16">
        <f t="shared" si="3"/>
        <v>22935</v>
      </c>
      <c r="U55" s="17" t="s">
        <v>307</v>
      </c>
      <c r="V55" s="23" t="s">
        <v>121</v>
      </c>
      <c r="W55" s="2" t="s">
        <v>506</v>
      </c>
    </row>
    <row r="56" spans="1:22" ht="15" customHeight="1">
      <c r="A56" s="11" t="s">
        <v>143</v>
      </c>
      <c r="B56" s="11" t="s">
        <v>145</v>
      </c>
      <c r="C56" s="12" t="s">
        <v>371</v>
      </c>
      <c r="D56" s="23" t="s">
        <v>430</v>
      </c>
      <c r="E56" s="14">
        <v>44048</v>
      </c>
      <c r="F56" s="12" t="s">
        <v>431</v>
      </c>
      <c r="G56" s="14">
        <v>45261</v>
      </c>
      <c r="H56" s="15">
        <v>1650</v>
      </c>
      <c r="I56" s="15">
        <v>2765</v>
      </c>
      <c r="J56" s="15">
        <v>2200</v>
      </c>
      <c r="K56" s="15">
        <v>2200</v>
      </c>
      <c r="L56" s="15">
        <v>1650</v>
      </c>
      <c r="M56" s="15">
        <v>2750</v>
      </c>
      <c r="N56" s="15">
        <v>1650</v>
      </c>
      <c r="O56" s="15">
        <v>2750</v>
      </c>
      <c r="P56" s="15">
        <v>1650</v>
      </c>
      <c r="Q56" s="15">
        <v>1650</v>
      </c>
      <c r="R56" s="15">
        <v>1100</v>
      </c>
      <c r="S56" s="15">
        <v>1100</v>
      </c>
      <c r="T56" s="16">
        <f t="shared" si="3"/>
        <v>23115</v>
      </c>
      <c r="U56" s="17" t="s">
        <v>307</v>
      </c>
      <c r="V56" s="23" t="s">
        <v>121</v>
      </c>
    </row>
    <row r="57" spans="1:22" ht="25.5">
      <c r="A57" s="11" t="s">
        <v>143</v>
      </c>
      <c r="B57" s="11" t="s">
        <v>145</v>
      </c>
      <c r="C57" s="12" t="s">
        <v>243</v>
      </c>
      <c r="D57" s="23" t="s">
        <v>49</v>
      </c>
      <c r="E57" s="14">
        <v>43435</v>
      </c>
      <c r="F57" s="12" t="s">
        <v>77</v>
      </c>
      <c r="G57" s="14">
        <v>45261</v>
      </c>
      <c r="H57" s="15">
        <v>14267.5</v>
      </c>
      <c r="I57" s="15">
        <v>13762.5</v>
      </c>
      <c r="J57" s="15">
        <v>16070</v>
      </c>
      <c r="K57" s="15">
        <v>20117.5</v>
      </c>
      <c r="L57" s="15">
        <v>18185</v>
      </c>
      <c r="M57" s="15">
        <v>18442.5</v>
      </c>
      <c r="N57" s="15">
        <v>18480</v>
      </c>
      <c r="O57" s="15">
        <v>19537.5</v>
      </c>
      <c r="P57" s="15">
        <v>21497.5</v>
      </c>
      <c r="Q57" s="15">
        <v>14547.5</v>
      </c>
      <c r="R57" s="15">
        <v>13947.5</v>
      </c>
      <c r="S57" s="15">
        <v>14107.5</v>
      </c>
      <c r="T57" s="16">
        <f t="shared" si="3"/>
        <v>202962.5</v>
      </c>
      <c r="U57" s="17" t="s">
        <v>307</v>
      </c>
      <c r="V57" s="23" t="s">
        <v>121</v>
      </c>
    </row>
    <row r="58" spans="1:22" ht="15" customHeight="1">
      <c r="A58" s="11" t="s">
        <v>143</v>
      </c>
      <c r="B58" s="11" t="s">
        <v>145</v>
      </c>
      <c r="C58" s="12" t="s">
        <v>245</v>
      </c>
      <c r="D58" s="13" t="s">
        <v>164</v>
      </c>
      <c r="E58" s="14">
        <v>43435</v>
      </c>
      <c r="F58" s="12" t="s">
        <v>162</v>
      </c>
      <c r="G58" s="14">
        <v>45261</v>
      </c>
      <c r="H58" s="15">
        <v>2450</v>
      </c>
      <c r="I58" s="15">
        <v>2520</v>
      </c>
      <c r="J58" s="15">
        <v>3990</v>
      </c>
      <c r="K58" s="15">
        <v>2835</v>
      </c>
      <c r="L58" s="15">
        <v>2170</v>
      </c>
      <c r="M58" s="15">
        <v>3150</v>
      </c>
      <c r="N58" s="15">
        <v>3465</v>
      </c>
      <c r="O58" s="15">
        <v>3325</v>
      </c>
      <c r="P58" s="15">
        <v>3570</v>
      </c>
      <c r="Q58" s="15">
        <v>2555</v>
      </c>
      <c r="R58" s="15">
        <v>2310</v>
      </c>
      <c r="S58" s="15">
        <v>2135</v>
      </c>
      <c r="T58" s="16">
        <f t="shared" si="3"/>
        <v>34475</v>
      </c>
      <c r="U58" s="17" t="s">
        <v>307</v>
      </c>
      <c r="V58" s="13" t="s">
        <v>121</v>
      </c>
    </row>
    <row r="59" spans="1:22" ht="15" customHeight="1">
      <c r="A59" s="11" t="s">
        <v>143</v>
      </c>
      <c r="B59" s="11" t="s">
        <v>145</v>
      </c>
      <c r="C59" s="12" t="s">
        <v>369</v>
      </c>
      <c r="D59" s="13" t="s">
        <v>438</v>
      </c>
      <c r="E59" s="14">
        <v>43962</v>
      </c>
      <c r="F59" s="12" t="s">
        <v>177</v>
      </c>
      <c r="G59" s="14">
        <v>45261</v>
      </c>
      <c r="H59" s="15">
        <v>9607.5</v>
      </c>
      <c r="I59" s="15">
        <v>9640</v>
      </c>
      <c r="J59" s="15">
        <v>12590</v>
      </c>
      <c r="K59" s="15">
        <v>10777.5</v>
      </c>
      <c r="L59" s="15">
        <v>12417.5</v>
      </c>
      <c r="M59" s="15">
        <v>14240</v>
      </c>
      <c r="N59" s="15">
        <v>10650</v>
      </c>
      <c r="O59" s="15">
        <v>13972.5</v>
      </c>
      <c r="P59" s="15">
        <v>7240</v>
      </c>
      <c r="Q59" s="15">
        <v>12445</v>
      </c>
      <c r="R59" s="15">
        <v>12322.5</v>
      </c>
      <c r="S59" s="15">
        <v>8235</v>
      </c>
      <c r="T59" s="16">
        <f t="shared" si="3"/>
        <v>134137.5</v>
      </c>
      <c r="U59" s="17" t="s">
        <v>307</v>
      </c>
      <c r="V59" s="13" t="s">
        <v>121</v>
      </c>
    </row>
    <row r="60" spans="1:22" ht="15" customHeight="1">
      <c r="A60" s="11" t="s">
        <v>143</v>
      </c>
      <c r="B60" s="11" t="s">
        <v>145</v>
      </c>
      <c r="C60" s="12" t="s">
        <v>246</v>
      </c>
      <c r="D60" s="13" t="s">
        <v>50</v>
      </c>
      <c r="E60" s="14">
        <v>43435</v>
      </c>
      <c r="F60" s="12" t="s">
        <v>79</v>
      </c>
      <c r="G60" s="14">
        <v>45261</v>
      </c>
      <c r="H60" s="15">
        <f>4790+4667.5</f>
        <v>9457.5</v>
      </c>
      <c r="I60" s="15">
        <f>9717.5+9845</f>
        <v>19562.5</v>
      </c>
      <c r="J60" s="15">
        <f>12585+11065</f>
        <v>23650</v>
      </c>
      <c r="K60" s="15">
        <f>10860+10247.5</f>
        <v>21107.5</v>
      </c>
      <c r="L60" s="15">
        <f>12157.5+12795</f>
        <v>24952.5</v>
      </c>
      <c r="M60" s="15">
        <f>12672.5+12422.5</f>
        <v>25095</v>
      </c>
      <c r="N60" s="15">
        <f>6677.5+9045</f>
        <v>15722.5</v>
      </c>
      <c r="O60" s="15">
        <f>13840+13312.5</f>
        <v>27152.5</v>
      </c>
      <c r="P60" s="15">
        <f>12760+12490</f>
        <v>25250</v>
      </c>
      <c r="Q60" s="15">
        <f>12272.5+12015</f>
        <v>24287.5</v>
      </c>
      <c r="R60" s="15">
        <f>10115+11470</f>
        <v>21585</v>
      </c>
      <c r="S60" s="15">
        <f>10372.5+10277.5</f>
        <v>20650</v>
      </c>
      <c r="T60" s="16">
        <f t="shared" si="3"/>
        <v>258472.5</v>
      </c>
      <c r="U60" s="17" t="s">
        <v>307</v>
      </c>
      <c r="V60" s="13" t="s">
        <v>121</v>
      </c>
    </row>
    <row r="61" spans="1:22" ht="15" customHeight="1">
      <c r="A61" s="11" t="s">
        <v>143</v>
      </c>
      <c r="B61" s="11" t="s">
        <v>145</v>
      </c>
      <c r="C61" s="12" t="s">
        <v>321</v>
      </c>
      <c r="D61" s="13" t="s">
        <v>322</v>
      </c>
      <c r="E61" s="14">
        <v>43832</v>
      </c>
      <c r="F61" s="12" t="s">
        <v>113</v>
      </c>
      <c r="G61" s="14">
        <v>45261</v>
      </c>
      <c r="H61" s="15">
        <v>8947</v>
      </c>
      <c r="I61" s="15">
        <v>8720.8</v>
      </c>
      <c r="J61" s="15">
        <v>8709.6</v>
      </c>
      <c r="K61" s="15">
        <v>5170.4</v>
      </c>
      <c r="L61" s="15">
        <v>6437.6</v>
      </c>
      <c r="M61" s="15">
        <v>5420.4</v>
      </c>
      <c r="N61" s="15">
        <v>5451.8</v>
      </c>
      <c r="O61" s="15">
        <v>5346</v>
      </c>
      <c r="P61" s="15">
        <v>4740.6</v>
      </c>
      <c r="Q61" s="15">
        <v>10356</v>
      </c>
      <c r="R61" s="15">
        <v>6334</v>
      </c>
      <c r="S61" s="15">
        <v>5915.68</v>
      </c>
      <c r="T61" s="16">
        <f t="shared" si="3"/>
        <v>81549.88</v>
      </c>
      <c r="U61" s="17" t="s">
        <v>307</v>
      </c>
      <c r="V61" s="13" t="s">
        <v>121</v>
      </c>
    </row>
    <row r="62" spans="1:22" ht="15" customHeight="1">
      <c r="A62" s="11" t="s">
        <v>143</v>
      </c>
      <c r="B62" s="11" t="s">
        <v>145</v>
      </c>
      <c r="C62" s="12" t="s">
        <v>249</v>
      </c>
      <c r="D62" s="13" t="s">
        <v>165</v>
      </c>
      <c r="E62" s="14">
        <v>43435</v>
      </c>
      <c r="F62" s="18" t="s">
        <v>162</v>
      </c>
      <c r="G62" s="14">
        <v>45261</v>
      </c>
      <c r="H62" s="15">
        <v>5525</v>
      </c>
      <c r="I62" s="15">
        <v>6245</v>
      </c>
      <c r="J62" s="15">
        <v>6900.01</v>
      </c>
      <c r="K62" s="15">
        <v>5580</v>
      </c>
      <c r="L62" s="15">
        <v>6505</v>
      </c>
      <c r="M62" s="15">
        <v>7285</v>
      </c>
      <c r="N62" s="15">
        <v>4510</v>
      </c>
      <c r="O62" s="15">
        <v>5840</v>
      </c>
      <c r="P62" s="15">
        <v>5390</v>
      </c>
      <c r="Q62" s="15">
        <v>6335</v>
      </c>
      <c r="R62" s="15">
        <v>6524.99</v>
      </c>
      <c r="S62" s="15">
        <v>3945</v>
      </c>
      <c r="T62" s="16">
        <f t="shared" si="3"/>
        <v>70585</v>
      </c>
      <c r="U62" s="17" t="s">
        <v>307</v>
      </c>
      <c r="V62" s="13" t="s">
        <v>121</v>
      </c>
    </row>
    <row r="63" spans="1:22" ht="15" customHeight="1">
      <c r="A63" s="11" t="s">
        <v>143</v>
      </c>
      <c r="B63" s="11" t="s">
        <v>145</v>
      </c>
      <c r="C63" s="12" t="s">
        <v>469</v>
      </c>
      <c r="D63" s="13" t="s">
        <v>474</v>
      </c>
      <c r="E63" s="14">
        <v>44623</v>
      </c>
      <c r="F63" s="18" t="s">
        <v>215</v>
      </c>
      <c r="G63" s="14">
        <v>45261</v>
      </c>
      <c r="H63" s="15">
        <v>0</v>
      </c>
      <c r="I63" s="15">
        <v>0</v>
      </c>
      <c r="J63" s="15">
        <v>3290</v>
      </c>
      <c r="K63" s="15">
        <v>4490</v>
      </c>
      <c r="L63" s="15">
        <v>3335</v>
      </c>
      <c r="M63" s="15">
        <v>3592.5</v>
      </c>
      <c r="N63" s="15">
        <v>9327.5</v>
      </c>
      <c r="O63" s="15">
        <v>10342.5</v>
      </c>
      <c r="P63" s="15">
        <v>11180</v>
      </c>
      <c r="Q63" s="15">
        <v>10572.5</v>
      </c>
      <c r="R63" s="15">
        <v>12972.5</v>
      </c>
      <c r="S63" s="15">
        <v>11800</v>
      </c>
      <c r="T63" s="16">
        <f t="shared" si="3"/>
        <v>80902.5</v>
      </c>
      <c r="U63" s="17" t="s">
        <v>307</v>
      </c>
      <c r="V63" s="13" t="s">
        <v>121</v>
      </c>
    </row>
    <row r="64" spans="1:22" ht="15" customHeight="1">
      <c r="A64" s="11" t="s">
        <v>143</v>
      </c>
      <c r="B64" s="11" t="s">
        <v>145</v>
      </c>
      <c r="C64" s="12" t="s">
        <v>480</v>
      </c>
      <c r="D64" s="13" t="s">
        <v>52</v>
      </c>
      <c r="E64" s="14">
        <v>43435</v>
      </c>
      <c r="F64" s="12" t="s">
        <v>72</v>
      </c>
      <c r="G64" s="14">
        <v>45261</v>
      </c>
      <c r="H64" s="15">
        <v>3934.4</v>
      </c>
      <c r="I64" s="15">
        <v>3934.4</v>
      </c>
      <c r="J64" s="15">
        <v>3959.4</v>
      </c>
      <c r="K64" s="15">
        <v>3959.4</v>
      </c>
      <c r="L64" s="15">
        <v>5279.2</v>
      </c>
      <c r="M64" s="15">
        <v>7403.8</v>
      </c>
      <c r="N64" s="15">
        <v>3959.4</v>
      </c>
      <c r="O64" s="15">
        <v>3984.4</v>
      </c>
      <c r="P64" s="15">
        <v>3984.4</v>
      </c>
      <c r="Q64" s="15">
        <v>3984.4</v>
      </c>
      <c r="R64" s="15">
        <v>2639.6</v>
      </c>
      <c r="S64" s="15">
        <v>3884.4</v>
      </c>
      <c r="T64" s="16">
        <f t="shared" si="3"/>
        <v>50907.200000000004</v>
      </c>
      <c r="U64" s="17" t="s">
        <v>307</v>
      </c>
      <c r="V64" s="13" t="s">
        <v>121</v>
      </c>
    </row>
    <row r="65" spans="1:22" ht="15" customHeight="1">
      <c r="A65" s="11" t="s">
        <v>143</v>
      </c>
      <c r="B65" s="11" t="s">
        <v>145</v>
      </c>
      <c r="C65" s="12" t="s">
        <v>488</v>
      </c>
      <c r="D65" s="13" t="s">
        <v>489</v>
      </c>
      <c r="E65" s="14">
        <v>44753</v>
      </c>
      <c r="F65" s="12" t="s">
        <v>73</v>
      </c>
      <c r="G65" s="14">
        <v>45261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2640</v>
      </c>
      <c r="O65" s="15">
        <v>2640</v>
      </c>
      <c r="P65" s="15">
        <v>2640</v>
      </c>
      <c r="Q65" s="15">
        <v>4015</v>
      </c>
      <c r="R65" s="15">
        <v>2640</v>
      </c>
      <c r="S65" s="15">
        <v>2640</v>
      </c>
      <c r="T65" s="16">
        <f t="shared" si="3"/>
        <v>17215</v>
      </c>
      <c r="U65" s="17" t="s">
        <v>307</v>
      </c>
      <c r="V65" s="13" t="s">
        <v>121</v>
      </c>
    </row>
    <row r="66" spans="1:22" ht="15" customHeight="1">
      <c r="A66" s="11" t="s">
        <v>143</v>
      </c>
      <c r="B66" s="11" t="s">
        <v>145</v>
      </c>
      <c r="C66" s="12" t="s">
        <v>251</v>
      </c>
      <c r="D66" s="13" t="s">
        <v>99</v>
      </c>
      <c r="E66" s="14">
        <v>43435</v>
      </c>
      <c r="F66" s="12" t="s">
        <v>112</v>
      </c>
      <c r="G66" s="14">
        <v>45261</v>
      </c>
      <c r="H66" s="15">
        <v>3526.6</v>
      </c>
      <c r="I66" s="15">
        <v>3526.6</v>
      </c>
      <c r="J66" s="15">
        <v>2754.4</v>
      </c>
      <c r="K66" s="15">
        <v>2094.4</v>
      </c>
      <c r="L66" s="15">
        <v>3009.6</v>
      </c>
      <c r="M66" s="15">
        <v>1212.2</v>
      </c>
      <c r="N66" s="15">
        <v>2567.4</v>
      </c>
      <c r="O66" s="15">
        <v>2094.4</v>
      </c>
      <c r="P66" s="15">
        <v>0</v>
      </c>
      <c r="Q66" s="15">
        <v>1907.4</v>
      </c>
      <c r="R66" s="15">
        <v>772.2</v>
      </c>
      <c r="S66" s="15">
        <v>1333.42</v>
      </c>
      <c r="T66" s="16">
        <f t="shared" si="3"/>
        <v>24798.620000000003</v>
      </c>
      <c r="U66" s="17" t="s">
        <v>307</v>
      </c>
      <c r="V66" s="13" t="s">
        <v>121</v>
      </c>
    </row>
    <row r="67" spans="1:22" ht="15" customHeight="1">
      <c r="A67" s="11" t="s">
        <v>336</v>
      </c>
      <c r="B67" s="11" t="s">
        <v>145</v>
      </c>
      <c r="C67" s="12" t="s">
        <v>252</v>
      </c>
      <c r="D67" s="23" t="s">
        <v>149</v>
      </c>
      <c r="E67" s="14">
        <v>43435</v>
      </c>
      <c r="F67" s="12" t="s">
        <v>150</v>
      </c>
      <c r="G67" s="14">
        <v>44867</v>
      </c>
      <c r="H67" s="15">
        <v>880</v>
      </c>
      <c r="I67" s="15">
        <v>1865</v>
      </c>
      <c r="J67" s="15">
        <v>2010</v>
      </c>
      <c r="K67" s="15">
        <v>1805</v>
      </c>
      <c r="L67" s="15">
        <v>2070</v>
      </c>
      <c r="M67" s="15">
        <v>2082.5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/>
      <c r="T67" s="16">
        <f t="shared" si="3"/>
        <v>10712.5</v>
      </c>
      <c r="U67" s="17" t="s">
        <v>307</v>
      </c>
      <c r="V67" s="23" t="s">
        <v>121</v>
      </c>
    </row>
    <row r="68" spans="1:22" ht="25.5" customHeight="1">
      <c r="A68" s="11" t="s">
        <v>143</v>
      </c>
      <c r="B68" s="11" t="s">
        <v>145</v>
      </c>
      <c r="C68" s="12" t="s">
        <v>253</v>
      </c>
      <c r="D68" s="13" t="s">
        <v>53</v>
      </c>
      <c r="E68" s="14">
        <v>43435</v>
      </c>
      <c r="F68" s="12" t="s">
        <v>69</v>
      </c>
      <c r="G68" s="14">
        <v>45261</v>
      </c>
      <c r="H68" s="15">
        <v>4280</v>
      </c>
      <c r="I68" s="15">
        <v>7000</v>
      </c>
      <c r="J68" s="15">
        <v>5600</v>
      </c>
      <c r="K68" s="15">
        <v>8290</v>
      </c>
      <c r="L68" s="15">
        <v>10820</v>
      </c>
      <c r="M68" s="15">
        <v>12870</v>
      </c>
      <c r="N68" s="15">
        <v>10260</v>
      </c>
      <c r="O68" s="15">
        <v>9400</v>
      </c>
      <c r="P68" s="15">
        <v>10960</v>
      </c>
      <c r="Q68" s="15">
        <v>10350</v>
      </c>
      <c r="R68" s="15">
        <v>5900</v>
      </c>
      <c r="S68" s="15">
        <v>6130</v>
      </c>
      <c r="T68" s="16">
        <f t="shared" si="3"/>
        <v>101860</v>
      </c>
      <c r="U68" s="17" t="s">
        <v>307</v>
      </c>
      <c r="V68" s="13" t="s">
        <v>121</v>
      </c>
    </row>
    <row r="69" spans="1:22" ht="15" customHeight="1">
      <c r="A69" s="11" t="s">
        <v>143</v>
      </c>
      <c r="B69" s="11" t="s">
        <v>145</v>
      </c>
      <c r="C69" s="12" t="s">
        <v>255</v>
      </c>
      <c r="D69" s="13" t="s">
        <v>55</v>
      </c>
      <c r="E69" s="14">
        <v>43435</v>
      </c>
      <c r="F69" s="12" t="s">
        <v>81</v>
      </c>
      <c r="G69" s="14">
        <v>45261</v>
      </c>
      <c r="H69" s="15">
        <v>19859.76</v>
      </c>
      <c r="I69" s="15">
        <v>20442.91</v>
      </c>
      <c r="J69" s="15">
        <v>17043.74</v>
      </c>
      <c r="K69" s="15">
        <v>18156.03</v>
      </c>
      <c r="L69" s="15">
        <v>22185.98</v>
      </c>
      <c r="M69" s="15">
        <v>24207.02</v>
      </c>
      <c r="N69" s="15">
        <v>26636.41</v>
      </c>
      <c r="O69" s="15">
        <v>20644.92</v>
      </c>
      <c r="P69" s="15">
        <v>23027</v>
      </c>
      <c r="Q69" s="15">
        <v>23248.8</v>
      </c>
      <c r="R69" s="15">
        <v>21949.6</v>
      </c>
      <c r="S69" s="15">
        <v>30055.48</v>
      </c>
      <c r="T69" s="16">
        <f t="shared" si="3"/>
        <v>267457.65</v>
      </c>
      <c r="U69" s="17" t="s">
        <v>307</v>
      </c>
      <c r="V69" s="13" t="s">
        <v>121</v>
      </c>
    </row>
    <row r="70" spans="1:22" ht="15" customHeight="1">
      <c r="A70" s="11" t="s">
        <v>143</v>
      </c>
      <c r="B70" s="11" t="s">
        <v>145</v>
      </c>
      <c r="C70" s="12" t="s">
        <v>256</v>
      </c>
      <c r="D70" s="13" t="s">
        <v>159</v>
      </c>
      <c r="E70" s="14">
        <v>43435</v>
      </c>
      <c r="F70" s="12" t="s">
        <v>76</v>
      </c>
      <c r="G70" s="14">
        <v>45261</v>
      </c>
      <c r="H70" s="15">
        <v>4515</v>
      </c>
      <c r="I70" s="15">
        <v>6557.5</v>
      </c>
      <c r="J70" s="15">
        <v>6330</v>
      </c>
      <c r="K70" s="15">
        <v>6330</v>
      </c>
      <c r="L70" s="15">
        <v>6715</v>
      </c>
      <c r="M70" s="15">
        <v>6007.5</v>
      </c>
      <c r="N70" s="15">
        <v>6830</v>
      </c>
      <c r="O70" s="15">
        <v>6030</v>
      </c>
      <c r="P70" s="15">
        <v>6195</v>
      </c>
      <c r="Q70" s="15">
        <v>7167.49</v>
      </c>
      <c r="R70" s="15">
        <v>8082.49</v>
      </c>
      <c r="S70" s="15">
        <v>6446.66</v>
      </c>
      <c r="T70" s="16">
        <f t="shared" si="3"/>
        <v>77206.64</v>
      </c>
      <c r="U70" s="17" t="s">
        <v>307</v>
      </c>
      <c r="V70" s="13" t="s">
        <v>121</v>
      </c>
    </row>
    <row r="71" spans="1:22" ht="15" customHeight="1">
      <c r="A71" s="11" t="s">
        <v>336</v>
      </c>
      <c r="B71" s="11" t="s">
        <v>145</v>
      </c>
      <c r="C71" s="12" t="s">
        <v>257</v>
      </c>
      <c r="D71" s="13" t="s">
        <v>128</v>
      </c>
      <c r="E71" s="14">
        <v>43435</v>
      </c>
      <c r="F71" s="12" t="s">
        <v>138</v>
      </c>
      <c r="G71" s="14">
        <v>44683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/>
      <c r="R71" s="15"/>
      <c r="S71" s="15"/>
      <c r="T71" s="16">
        <f t="shared" si="3"/>
        <v>0</v>
      </c>
      <c r="U71" s="17" t="s">
        <v>307</v>
      </c>
      <c r="V71" s="13" t="s">
        <v>121</v>
      </c>
    </row>
    <row r="72" spans="1:22" ht="15" customHeight="1">
      <c r="A72" s="11" t="s">
        <v>143</v>
      </c>
      <c r="B72" s="11" t="s">
        <v>145</v>
      </c>
      <c r="C72" s="12" t="s">
        <v>258</v>
      </c>
      <c r="D72" s="13" t="s">
        <v>56</v>
      </c>
      <c r="E72" s="14">
        <v>43435</v>
      </c>
      <c r="F72" s="12" t="s">
        <v>83</v>
      </c>
      <c r="G72" s="14">
        <v>45261</v>
      </c>
      <c r="H72" s="15">
        <v>5120</v>
      </c>
      <c r="I72" s="15">
        <v>5420</v>
      </c>
      <c r="J72" s="15">
        <v>6570</v>
      </c>
      <c r="K72" s="15">
        <v>7370</v>
      </c>
      <c r="L72" s="15">
        <v>6920</v>
      </c>
      <c r="M72" s="15">
        <v>7020</v>
      </c>
      <c r="N72" s="15">
        <v>7820</v>
      </c>
      <c r="O72" s="15">
        <v>7720</v>
      </c>
      <c r="P72" s="15">
        <v>8120</v>
      </c>
      <c r="Q72" s="15">
        <v>5620</v>
      </c>
      <c r="R72" s="15">
        <v>5370</v>
      </c>
      <c r="S72" s="15">
        <v>5497.5</v>
      </c>
      <c r="T72" s="16">
        <f t="shared" si="3"/>
        <v>78567.5</v>
      </c>
      <c r="U72" s="17" t="s">
        <v>307</v>
      </c>
      <c r="V72" s="13" t="s">
        <v>121</v>
      </c>
    </row>
    <row r="73" spans="1:22" ht="30" customHeight="1">
      <c r="A73" s="11" t="s">
        <v>143</v>
      </c>
      <c r="B73" s="11" t="s">
        <v>145</v>
      </c>
      <c r="C73" s="12" t="s">
        <v>259</v>
      </c>
      <c r="D73" s="23" t="s">
        <v>58</v>
      </c>
      <c r="E73" s="14">
        <v>43435</v>
      </c>
      <c r="F73" s="12" t="s">
        <v>152</v>
      </c>
      <c r="G73" s="14">
        <v>45261</v>
      </c>
      <c r="H73" s="15">
        <v>3886</v>
      </c>
      <c r="I73" s="15">
        <v>4529.5</v>
      </c>
      <c r="J73" s="15">
        <v>5816.5</v>
      </c>
      <c r="K73" s="15">
        <v>5173</v>
      </c>
      <c r="L73" s="15">
        <v>4529.5</v>
      </c>
      <c r="M73" s="15">
        <v>3861</v>
      </c>
      <c r="N73" s="15">
        <v>4611.75</v>
      </c>
      <c r="O73" s="15">
        <v>4504.5</v>
      </c>
      <c r="P73" s="15">
        <v>3896.75</v>
      </c>
      <c r="Q73" s="15">
        <v>3217.5</v>
      </c>
      <c r="R73" s="15">
        <v>4565.25</v>
      </c>
      <c r="S73" s="15">
        <v>6184.75</v>
      </c>
      <c r="T73" s="16">
        <f t="shared" si="3"/>
        <v>54776</v>
      </c>
      <c r="U73" s="17" t="s">
        <v>307</v>
      </c>
      <c r="V73" s="23" t="s">
        <v>121</v>
      </c>
    </row>
    <row r="74" spans="1:22" ht="15" customHeight="1">
      <c r="A74" s="11" t="s">
        <v>143</v>
      </c>
      <c r="B74" s="11" t="s">
        <v>145</v>
      </c>
      <c r="C74" s="12" t="s">
        <v>420</v>
      </c>
      <c r="D74" s="23" t="s">
        <v>423</v>
      </c>
      <c r="E74" s="14">
        <v>44136</v>
      </c>
      <c r="F74" s="12" t="s">
        <v>325</v>
      </c>
      <c r="G74" s="14">
        <v>45261</v>
      </c>
      <c r="H74" s="15">
        <v>4858.8</v>
      </c>
      <c r="I74" s="15">
        <v>7768</v>
      </c>
      <c r="J74" s="15">
        <v>9387.6</v>
      </c>
      <c r="K74" s="15">
        <v>12242.8</v>
      </c>
      <c r="L74" s="15">
        <v>13382.4</v>
      </c>
      <c r="M74" s="15">
        <v>17336.8</v>
      </c>
      <c r="N74" s="15">
        <v>16566.6</v>
      </c>
      <c r="O74" s="15">
        <v>12779.9</v>
      </c>
      <c r="P74" s="15">
        <v>17818.9</v>
      </c>
      <c r="Q74" s="15">
        <v>13165</v>
      </c>
      <c r="R74" s="15">
        <v>12505</v>
      </c>
      <c r="S74" s="15">
        <v>14022.49</v>
      </c>
      <c r="T74" s="16">
        <f t="shared" si="3"/>
        <v>151834.28999999998</v>
      </c>
      <c r="U74" s="17" t="s">
        <v>307</v>
      </c>
      <c r="V74" s="23" t="s">
        <v>121</v>
      </c>
    </row>
    <row r="75" spans="1:22" ht="44.25" customHeight="1">
      <c r="A75" s="11" t="s">
        <v>143</v>
      </c>
      <c r="B75" s="11" t="s">
        <v>145</v>
      </c>
      <c r="C75" s="12" t="s">
        <v>428</v>
      </c>
      <c r="D75" s="23" t="s">
        <v>432</v>
      </c>
      <c r="E75" s="14">
        <v>44510</v>
      </c>
      <c r="F75" s="12" t="s">
        <v>78</v>
      </c>
      <c r="G75" s="14">
        <v>44996</v>
      </c>
      <c r="H75" s="15">
        <v>20127</v>
      </c>
      <c r="I75" s="15">
        <v>22414</v>
      </c>
      <c r="J75" s="15">
        <v>25931.42</v>
      </c>
      <c r="K75" s="15">
        <v>25128.36</v>
      </c>
      <c r="L75" s="15">
        <v>28297.4</v>
      </c>
      <c r="M75" s="15">
        <v>28994.03</v>
      </c>
      <c r="N75" s="15">
        <v>30252.91</v>
      </c>
      <c r="O75" s="15">
        <v>29243.38</v>
      </c>
      <c r="P75" s="15">
        <v>30390.85</v>
      </c>
      <c r="Q75" s="15">
        <v>24912.32</v>
      </c>
      <c r="R75" s="15">
        <v>24837.94</v>
      </c>
      <c r="S75" s="15">
        <v>24597.09</v>
      </c>
      <c r="T75" s="16">
        <f t="shared" si="3"/>
        <v>315126.7</v>
      </c>
      <c r="U75" s="17" t="s">
        <v>307</v>
      </c>
      <c r="V75" s="23" t="s">
        <v>121</v>
      </c>
    </row>
    <row r="76" spans="1:22" ht="15" customHeight="1">
      <c r="A76" s="11" t="s">
        <v>143</v>
      </c>
      <c r="B76" s="11" t="s">
        <v>145</v>
      </c>
      <c r="C76" s="12" t="s">
        <v>466</v>
      </c>
      <c r="D76" s="13" t="s">
        <v>221</v>
      </c>
      <c r="E76" s="14">
        <v>44567</v>
      </c>
      <c r="F76" s="12" t="s">
        <v>222</v>
      </c>
      <c r="G76" s="14">
        <v>45261</v>
      </c>
      <c r="H76" s="15">
        <v>5613.5</v>
      </c>
      <c r="I76" s="15">
        <f>4015+3099.5</f>
        <v>7114.5</v>
      </c>
      <c r="J76" s="15">
        <f>4040+3947.5</f>
        <v>7987.5</v>
      </c>
      <c r="K76" s="15">
        <f>4447.5+5609.5</f>
        <v>10057</v>
      </c>
      <c r="L76" s="15">
        <f>3930+6189</f>
        <v>10119</v>
      </c>
      <c r="M76" s="15">
        <f>4812.5+5058.5</f>
        <v>9871</v>
      </c>
      <c r="N76" s="15">
        <f>4966.5+4107.5</f>
        <v>9074</v>
      </c>
      <c r="O76" s="15">
        <f>5787.5+6213.5</f>
        <v>12001</v>
      </c>
      <c r="P76" s="15">
        <f>5730.5+5502.5</f>
        <v>11233</v>
      </c>
      <c r="Q76" s="15">
        <f>5058.5+4577.5</f>
        <v>9636</v>
      </c>
      <c r="R76" s="15">
        <f>4243.5+2150</f>
        <v>6393.5</v>
      </c>
      <c r="S76" s="15">
        <f>1550+6439</f>
        <v>7989</v>
      </c>
      <c r="T76" s="16">
        <f t="shared" si="3"/>
        <v>107089</v>
      </c>
      <c r="U76" s="17" t="s">
        <v>307</v>
      </c>
      <c r="V76" s="23" t="s">
        <v>121</v>
      </c>
    </row>
    <row r="77" spans="1:22" ht="15" customHeight="1">
      <c r="A77" s="11" t="s">
        <v>143</v>
      </c>
      <c r="B77" s="11" t="s">
        <v>145</v>
      </c>
      <c r="C77" s="12" t="s">
        <v>260</v>
      </c>
      <c r="D77" s="13" t="s">
        <v>126</v>
      </c>
      <c r="E77" s="14">
        <v>43435</v>
      </c>
      <c r="F77" s="12" t="s">
        <v>112</v>
      </c>
      <c r="G77" s="14">
        <v>45261</v>
      </c>
      <c r="H77" s="15">
        <v>2823.6</v>
      </c>
      <c r="I77" s="15">
        <v>2163.6</v>
      </c>
      <c r="J77" s="15">
        <v>2163.6</v>
      </c>
      <c r="K77" s="15">
        <v>4327.2</v>
      </c>
      <c r="L77" s="15">
        <v>4290.53</v>
      </c>
      <c r="M77" s="15">
        <v>2163.6</v>
      </c>
      <c r="N77" s="15">
        <v>3673.2</v>
      </c>
      <c r="O77" s="15">
        <v>5181</v>
      </c>
      <c r="P77" s="15">
        <v>5606.33</v>
      </c>
      <c r="Q77" s="15">
        <v>2191.1</v>
      </c>
      <c r="R77" s="15">
        <v>2163.6</v>
      </c>
      <c r="S77" s="15">
        <v>2143.44</v>
      </c>
      <c r="T77" s="16">
        <f t="shared" si="3"/>
        <v>38890.799999999996</v>
      </c>
      <c r="U77" s="17" t="s">
        <v>307</v>
      </c>
      <c r="V77" s="13" t="s">
        <v>121</v>
      </c>
    </row>
    <row r="78" spans="1:22" ht="15" customHeight="1">
      <c r="A78" s="11" t="s">
        <v>143</v>
      </c>
      <c r="B78" s="11" t="s">
        <v>145</v>
      </c>
      <c r="C78" s="12" t="s">
        <v>261</v>
      </c>
      <c r="D78" s="13" t="s">
        <v>106</v>
      </c>
      <c r="E78" s="14">
        <v>43435</v>
      </c>
      <c r="F78" s="12" t="s">
        <v>135</v>
      </c>
      <c r="G78" s="14">
        <v>45261</v>
      </c>
      <c r="H78" s="15"/>
      <c r="I78" s="15">
        <f>660+330</f>
        <v>990</v>
      </c>
      <c r="J78" s="15">
        <v>696.67</v>
      </c>
      <c r="K78" s="15">
        <v>660</v>
      </c>
      <c r="L78" s="15">
        <v>660</v>
      </c>
      <c r="M78" s="15">
        <v>660</v>
      </c>
      <c r="N78" s="15">
        <v>880</v>
      </c>
      <c r="O78" s="15">
        <v>586.67</v>
      </c>
      <c r="P78" s="15">
        <v>806.67</v>
      </c>
      <c r="Q78" s="15">
        <v>660</v>
      </c>
      <c r="R78" s="15">
        <v>440</v>
      </c>
      <c r="S78" s="15">
        <v>586.67</v>
      </c>
      <c r="T78" s="16">
        <f t="shared" si="3"/>
        <v>7626.68</v>
      </c>
      <c r="U78" s="17" t="s">
        <v>307</v>
      </c>
      <c r="V78" s="13" t="s">
        <v>121</v>
      </c>
    </row>
    <row r="79" spans="1:22" ht="15" customHeight="1">
      <c r="A79" s="11" t="s">
        <v>143</v>
      </c>
      <c r="B79" s="11" t="s">
        <v>145</v>
      </c>
      <c r="C79" s="12" t="s">
        <v>262</v>
      </c>
      <c r="D79" s="13" t="s">
        <v>147</v>
      </c>
      <c r="E79" s="14">
        <v>43435</v>
      </c>
      <c r="F79" s="12" t="s">
        <v>148</v>
      </c>
      <c r="G79" s="14">
        <v>45261</v>
      </c>
      <c r="H79" s="15">
        <f>5292+4692</f>
        <v>9984</v>
      </c>
      <c r="I79" s="15">
        <f>4673.6+4791.1</f>
        <v>9464.7</v>
      </c>
      <c r="J79" s="15">
        <f>6707.9+8638.8</f>
        <v>15346.699999999999</v>
      </c>
      <c r="K79" s="15">
        <f>8043+6900.39</f>
        <v>14943.39</v>
      </c>
      <c r="L79" s="15">
        <f>9940.84+8538</f>
        <v>18478.84</v>
      </c>
      <c r="M79" s="15">
        <v>9457.2</v>
      </c>
      <c r="N79" s="15">
        <v>9072.2</v>
      </c>
      <c r="O79" s="15">
        <v>8082.2</v>
      </c>
      <c r="P79" s="15">
        <v>11669.9</v>
      </c>
      <c r="Q79" s="15">
        <v>9388.09</v>
      </c>
      <c r="R79" s="15">
        <v>9952.19</v>
      </c>
      <c r="S79" s="15">
        <v>5760.53</v>
      </c>
      <c r="T79" s="16">
        <f t="shared" si="3"/>
        <v>131599.94</v>
      </c>
      <c r="U79" s="17" t="s">
        <v>307</v>
      </c>
      <c r="V79" s="13" t="s">
        <v>121</v>
      </c>
    </row>
    <row r="80" spans="1:22" ht="30" customHeight="1">
      <c r="A80" s="11" t="s">
        <v>143</v>
      </c>
      <c r="B80" s="11" t="s">
        <v>145</v>
      </c>
      <c r="C80" s="12" t="s">
        <v>293</v>
      </c>
      <c r="D80" s="13" t="s">
        <v>299</v>
      </c>
      <c r="E80" s="14">
        <v>43802</v>
      </c>
      <c r="F80" s="12" t="s">
        <v>152</v>
      </c>
      <c r="G80" s="14">
        <v>45261</v>
      </c>
      <c r="H80" s="15">
        <v>68484.75</v>
      </c>
      <c r="I80" s="15">
        <v>79880.66</v>
      </c>
      <c r="J80" s="15">
        <v>95081.65</v>
      </c>
      <c r="K80" s="15">
        <v>83471.2</v>
      </c>
      <c r="L80" s="15">
        <v>90423.64</v>
      </c>
      <c r="M80" s="15">
        <v>87199.5</v>
      </c>
      <c r="N80" s="15">
        <v>80103.36</v>
      </c>
      <c r="O80" s="15">
        <v>92977.15</v>
      </c>
      <c r="P80" s="15">
        <v>93759.38</v>
      </c>
      <c r="Q80" s="15">
        <v>79932.21</v>
      </c>
      <c r="R80" s="15">
        <v>72510.97</v>
      </c>
      <c r="S80" s="15">
        <v>75317.47</v>
      </c>
      <c r="T80" s="16">
        <f t="shared" si="3"/>
        <v>999141.94</v>
      </c>
      <c r="U80" s="17" t="s">
        <v>307</v>
      </c>
      <c r="V80" s="13" t="s">
        <v>121</v>
      </c>
    </row>
    <row r="81" spans="1:22" ht="15" customHeight="1">
      <c r="A81" s="11" t="s">
        <v>336</v>
      </c>
      <c r="B81" s="11" t="s">
        <v>145</v>
      </c>
      <c r="C81" s="12" t="s">
        <v>211</v>
      </c>
      <c r="D81" s="13" t="s">
        <v>219</v>
      </c>
      <c r="E81" s="14">
        <v>43497</v>
      </c>
      <c r="F81" s="12" t="s">
        <v>220</v>
      </c>
      <c r="G81" s="14">
        <v>44880</v>
      </c>
      <c r="H81" s="15">
        <v>660</v>
      </c>
      <c r="I81" s="15">
        <v>990</v>
      </c>
      <c r="J81" s="15">
        <v>1347.5</v>
      </c>
      <c r="K81" s="15">
        <v>594</v>
      </c>
      <c r="L81" s="15">
        <v>1347.5</v>
      </c>
      <c r="M81" s="15">
        <v>1485</v>
      </c>
      <c r="N81" s="15">
        <v>330</v>
      </c>
      <c r="O81" s="15">
        <v>1677.503</v>
      </c>
      <c r="P81" s="15">
        <v>330</v>
      </c>
      <c r="Q81" s="15">
        <v>0</v>
      </c>
      <c r="R81" s="15">
        <v>0</v>
      </c>
      <c r="S81" s="15"/>
      <c r="T81" s="16">
        <f t="shared" si="3"/>
        <v>8761.503</v>
      </c>
      <c r="U81" s="17" t="s">
        <v>307</v>
      </c>
      <c r="V81" s="13" t="s">
        <v>121</v>
      </c>
    </row>
    <row r="82" spans="1:22" ht="15" customHeight="1">
      <c r="A82" s="11" t="s">
        <v>143</v>
      </c>
      <c r="B82" s="11" t="s">
        <v>145</v>
      </c>
      <c r="C82" s="12" t="s">
        <v>433</v>
      </c>
      <c r="D82" s="13" t="s">
        <v>434</v>
      </c>
      <c r="E82" s="14">
        <v>44257</v>
      </c>
      <c r="F82" s="12" t="s">
        <v>435</v>
      </c>
      <c r="G82" s="14">
        <v>45261</v>
      </c>
      <c r="H82" s="15">
        <v>2365</v>
      </c>
      <c r="I82" s="15">
        <v>3165</v>
      </c>
      <c r="J82" s="15">
        <v>2932.5</v>
      </c>
      <c r="K82" s="15">
        <v>2582.5</v>
      </c>
      <c r="L82" s="15">
        <v>2932.5</v>
      </c>
      <c r="M82" s="15">
        <v>3182.5</v>
      </c>
      <c r="N82" s="15">
        <v>2155</v>
      </c>
      <c r="O82" s="15">
        <v>2270</v>
      </c>
      <c r="P82" s="15">
        <v>1965</v>
      </c>
      <c r="Q82" s="15">
        <v>2992.5</v>
      </c>
      <c r="R82" s="15">
        <v>4015</v>
      </c>
      <c r="S82" s="15">
        <v>4350</v>
      </c>
      <c r="T82" s="16">
        <f t="shared" si="3"/>
        <v>34907.5</v>
      </c>
      <c r="U82" s="17" t="s">
        <v>307</v>
      </c>
      <c r="V82" s="13" t="s">
        <v>121</v>
      </c>
    </row>
    <row r="83" spans="1:22" ht="15" customHeight="1">
      <c r="A83" s="11" t="s">
        <v>143</v>
      </c>
      <c r="B83" s="11" t="s">
        <v>145</v>
      </c>
      <c r="C83" s="12" t="s">
        <v>326</v>
      </c>
      <c r="D83" s="13" t="s">
        <v>327</v>
      </c>
      <c r="E83" s="14">
        <v>43864</v>
      </c>
      <c r="F83" s="12" t="s">
        <v>328</v>
      </c>
      <c r="G83" s="14">
        <v>45261</v>
      </c>
      <c r="H83" s="15">
        <v>4623.2</v>
      </c>
      <c r="I83" s="15">
        <v>2535.4</v>
      </c>
      <c r="J83" s="15">
        <v>2963</v>
      </c>
      <c r="K83" s="15">
        <v>3125.5</v>
      </c>
      <c r="L83" s="15">
        <v>2370.39</v>
      </c>
      <c r="M83" s="15">
        <v>2963</v>
      </c>
      <c r="N83" s="15">
        <v>2370.4</v>
      </c>
      <c r="O83" s="15">
        <v>2397.9</v>
      </c>
      <c r="P83" s="15">
        <v>2960.3</v>
      </c>
      <c r="Q83" s="15">
        <v>1995.2</v>
      </c>
      <c r="R83" s="15">
        <v>3707.9</v>
      </c>
      <c r="S83" s="15">
        <v>2571.03</v>
      </c>
      <c r="T83" s="16">
        <f t="shared" si="3"/>
        <v>34583.22</v>
      </c>
      <c r="U83" s="17" t="s">
        <v>307</v>
      </c>
      <c r="V83" s="13" t="s">
        <v>121</v>
      </c>
    </row>
    <row r="84" spans="1:22" ht="15" customHeight="1">
      <c r="A84" s="11" t="s">
        <v>143</v>
      </c>
      <c r="B84" s="11" t="s">
        <v>145</v>
      </c>
      <c r="C84" s="12" t="s">
        <v>218</v>
      </c>
      <c r="D84" s="13" t="s">
        <v>161</v>
      </c>
      <c r="E84" s="14">
        <v>43435</v>
      </c>
      <c r="F84" s="12" t="s">
        <v>162</v>
      </c>
      <c r="G84" s="14">
        <v>45261</v>
      </c>
      <c r="H84" s="15">
        <v>6680</v>
      </c>
      <c r="I84" s="15">
        <v>6910</v>
      </c>
      <c r="J84" s="15">
        <v>7360</v>
      </c>
      <c r="K84" s="15">
        <v>7930</v>
      </c>
      <c r="L84" s="15">
        <v>8045</v>
      </c>
      <c r="M84" s="15">
        <v>11475</v>
      </c>
      <c r="N84" s="15">
        <v>10260</v>
      </c>
      <c r="O84" s="15">
        <v>9395</v>
      </c>
      <c r="P84" s="15">
        <v>5580</v>
      </c>
      <c r="Q84" s="15">
        <v>4800</v>
      </c>
      <c r="R84" s="15">
        <v>12060</v>
      </c>
      <c r="S84" s="15">
        <v>4555</v>
      </c>
      <c r="T84" s="16">
        <f t="shared" si="3"/>
        <v>95050</v>
      </c>
      <c r="U84" s="17" t="s">
        <v>307</v>
      </c>
      <c r="V84" s="13" t="s">
        <v>121</v>
      </c>
    </row>
    <row r="85" spans="1:22" ht="15" customHeight="1">
      <c r="A85" s="11" t="s">
        <v>143</v>
      </c>
      <c r="B85" s="11" t="s">
        <v>145</v>
      </c>
      <c r="C85" s="12" t="s">
        <v>441</v>
      </c>
      <c r="D85" s="13" t="s">
        <v>442</v>
      </c>
      <c r="E85" s="14">
        <v>44378</v>
      </c>
      <c r="F85" s="12" t="s">
        <v>443</v>
      </c>
      <c r="G85" s="14">
        <v>45108</v>
      </c>
      <c r="H85" s="15">
        <v>13500</v>
      </c>
      <c r="I85" s="15">
        <v>13500</v>
      </c>
      <c r="J85" s="15">
        <v>13500</v>
      </c>
      <c r="K85" s="15">
        <v>13500</v>
      </c>
      <c r="L85" s="15">
        <v>13500</v>
      </c>
      <c r="M85" s="15">
        <v>13500</v>
      </c>
      <c r="N85" s="15">
        <v>13500</v>
      </c>
      <c r="O85" s="15">
        <v>13500</v>
      </c>
      <c r="P85" s="15">
        <v>13500</v>
      </c>
      <c r="Q85" s="15">
        <v>13500</v>
      </c>
      <c r="R85" s="15">
        <v>13500</v>
      </c>
      <c r="S85" s="15">
        <v>13500</v>
      </c>
      <c r="T85" s="16">
        <f t="shared" si="3"/>
        <v>162000</v>
      </c>
      <c r="U85" s="17" t="s">
        <v>307</v>
      </c>
      <c r="V85" s="13" t="s">
        <v>121</v>
      </c>
    </row>
    <row r="86" spans="1:23" ht="15" customHeight="1">
      <c r="A86" s="11" t="s">
        <v>143</v>
      </c>
      <c r="B86" s="11" t="s">
        <v>145</v>
      </c>
      <c r="C86" s="12" t="s">
        <v>441</v>
      </c>
      <c r="D86" s="13" t="s">
        <v>442</v>
      </c>
      <c r="E86" s="14">
        <v>44743</v>
      </c>
      <c r="F86" s="12" t="s">
        <v>490</v>
      </c>
      <c r="G86" s="14">
        <v>45261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3104.4</v>
      </c>
      <c r="O86" s="15">
        <v>3104.4</v>
      </c>
      <c r="P86" s="15">
        <v>3104.4</v>
      </c>
      <c r="Q86" s="15">
        <v>3104.4</v>
      </c>
      <c r="R86" s="15">
        <v>3104.4</v>
      </c>
      <c r="S86" s="15"/>
      <c r="T86" s="16">
        <f>SUM(H86:S86)</f>
        <v>15522</v>
      </c>
      <c r="U86" s="17" t="s">
        <v>307</v>
      </c>
      <c r="V86" s="13" t="s">
        <v>121</v>
      </c>
      <c r="W86" s="2" t="s">
        <v>505</v>
      </c>
    </row>
    <row r="87" spans="1:22" ht="15" customHeight="1">
      <c r="A87" s="11" t="s">
        <v>143</v>
      </c>
      <c r="B87" s="11" t="s">
        <v>145</v>
      </c>
      <c r="C87" s="12" t="s">
        <v>242</v>
      </c>
      <c r="D87" s="13" t="s">
        <v>163</v>
      </c>
      <c r="E87" s="14">
        <v>43435</v>
      </c>
      <c r="F87" s="12" t="s">
        <v>162</v>
      </c>
      <c r="G87" s="14">
        <v>45261</v>
      </c>
      <c r="H87" s="15">
        <v>10385.92</v>
      </c>
      <c r="I87" s="15">
        <v>10810.24</v>
      </c>
      <c r="J87" s="15">
        <v>9780.92</v>
      </c>
      <c r="K87" s="15">
        <v>5325.24</v>
      </c>
      <c r="L87" s="15">
        <v>8922.52</v>
      </c>
      <c r="M87" s="15">
        <v>7628.2</v>
      </c>
      <c r="N87" s="15">
        <v>6680.92</v>
      </c>
      <c r="O87" s="15">
        <v>12318.2</v>
      </c>
      <c r="P87" s="15">
        <v>9384.56</v>
      </c>
      <c r="Q87" s="15">
        <v>8894.56</v>
      </c>
      <c r="R87" s="15">
        <v>4647.28</v>
      </c>
      <c r="S87" s="15">
        <v>6871.6</v>
      </c>
      <c r="T87" s="16">
        <f t="shared" si="3"/>
        <v>101650.15999999999</v>
      </c>
      <c r="U87" s="17" t="s">
        <v>307</v>
      </c>
      <c r="V87" s="13" t="s">
        <v>121</v>
      </c>
    </row>
    <row r="88" spans="1:22" ht="15" customHeight="1">
      <c r="A88" s="11" t="s">
        <v>143</v>
      </c>
      <c r="B88" s="11" t="s">
        <v>145</v>
      </c>
      <c r="C88" s="12" t="s">
        <v>421</v>
      </c>
      <c r="D88" s="13" t="s">
        <v>424</v>
      </c>
      <c r="E88" s="14">
        <v>44138</v>
      </c>
      <c r="F88" s="12" t="s">
        <v>409</v>
      </c>
      <c r="G88" s="14">
        <v>45261</v>
      </c>
      <c r="H88" s="15">
        <v>5536.6</v>
      </c>
      <c r="I88" s="15">
        <v>4839.2</v>
      </c>
      <c r="J88" s="15">
        <v>4344.2</v>
      </c>
      <c r="K88" s="15">
        <v>3794.4</v>
      </c>
      <c r="L88" s="15">
        <v>4874</v>
      </c>
      <c r="M88" s="15">
        <v>4094.4</v>
      </c>
      <c r="N88" s="15">
        <v>5659.2</v>
      </c>
      <c r="O88" s="15">
        <v>6134</v>
      </c>
      <c r="P88" s="15">
        <v>4019.6</v>
      </c>
      <c r="Q88" s="15">
        <v>5201.8</v>
      </c>
      <c r="R88" s="15">
        <v>5454.2</v>
      </c>
      <c r="S88" s="15">
        <v>6494.88</v>
      </c>
      <c r="T88" s="16">
        <f t="shared" si="3"/>
        <v>60446.479999999996</v>
      </c>
      <c r="U88" s="17" t="s">
        <v>307</v>
      </c>
      <c r="V88" s="13" t="s">
        <v>121</v>
      </c>
    </row>
    <row r="89" spans="1:22" ht="15" customHeight="1">
      <c r="A89" s="11" t="s">
        <v>143</v>
      </c>
      <c r="B89" s="11" t="s">
        <v>145</v>
      </c>
      <c r="C89" s="12" t="s">
        <v>501</v>
      </c>
      <c r="D89" s="13" t="s">
        <v>503</v>
      </c>
      <c r="E89" s="14">
        <v>44816</v>
      </c>
      <c r="F89" s="12" t="s">
        <v>150</v>
      </c>
      <c r="G89" s="14">
        <v>45261</v>
      </c>
      <c r="H89" s="15"/>
      <c r="I89" s="15"/>
      <c r="J89" s="15"/>
      <c r="K89" s="15"/>
      <c r="L89" s="15"/>
      <c r="M89" s="15">
        <v>0</v>
      </c>
      <c r="N89" s="15">
        <v>0</v>
      </c>
      <c r="O89" s="15">
        <v>0</v>
      </c>
      <c r="P89" s="15">
        <v>0</v>
      </c>
      <c r="Q89" s="15">
        <f>2080+2730</f>
        <v>4810</v>
      </c>
      <c r="R89" s="15">
        <v>2712.5</v>
      </c>
      <c r="S89" s="15">
        <v>1722.5</v>
      </c>
      <c r="T89" s="16">
        <f t="shared" si="3"/>
        <v>9245</v>
      </c>
      <c r="U89" s="17"/>
      <c r="V89" s="13"/>
    </row>
    <row r="90" spans="1:22" ht="30" customHeight="1">
      <c r="A90" s="11" t="s">
        <v>143</v>
      </c>
      <c r="B90" s="11" t="s">
        <v>145</v>
      </c>
      <c r="C90" s="12" t="s">
        <v>241</v>
      </c>
      <c r="D90" s="13" t="s">
        <v>59</v>
      </c>
      <c r="E90" s="14">
        <v>43435</v>
      </c>
      <c r="F90" s="12" t="s">
        <v>84</v>
      </c>
      <c r="G90" s="14">
        <v>45261</v>
      </c>
      <c r="H90" s="15">
        <v>10910</v>
      </c>
      <c r="I90" s="15">
        <v>12600</v>
      </c>
      <c r="J90" s="15">
        <v>11910</v>
      </c>
      <c r="K90" s="15">
        <v>18550</v>
      </c>
      <c r="L90" s="15">
        <v>18690</v>
      </c>
      <c r="M90" s="15">
        <v>13310</v>
      </c>
      <c r="N90" s="15">
        <v>20760</v>
      </c>
      <c r="O90" s="15">
        <v>18070</v>
      </c>
      <c r="P90" s="15">
        <v>16800</v>
      </c>
      <c r="Q90" s="15">
        <v>15580</v>
      </c>
      <c r="R90" s="15">
        <v>12210</v>
      </c>
      <c r="S90" s="15">
        <v>13200</v>
      </c>
      <c r="T90" s="16">
        <f t="shared" si="3"/>
        <v>182590</v>
      </c>
      <c r="U90" s="17" t="s">
        <v>307</v>
      </c>
      <c r="V90" s="13" t="s">
        <v>121</v>
      </c>
    </row>
    <row r="91" spans="1:22" ht="15" customHeight="1">
      <c r="A91" s="11" t="s">
        <v>143</v>
      </c>
      <c r="B91" s="11" t="s">
        <v>145</v>
      </c>
      <c r="C91" s="12" t="s">
        <v>448</v>
      </c>
      <c r="D91" s="13" t="s">
        <v>451</v>
      </c>
      <c r="E91" s="14">
        <v>44494</v>
      </c>
      <c r="F91" s="12" t="s">
        <v>452</v>
      </c>
      <c r="G91" s="14">
        <v>45261</v>
      </c>
      <c r="H91" s="15">
        <v>1234.4</v>
      </c>
      <c r="I91" s="15">
        <v>617.2</v>
      </c>
      <c r="J91" s="15">
        <v>1234.4</v>
      </c>
      <c r="K91" s="15">
        <v>1234.4</v>
      </c>
      <c r="L91" s="15">
        <v>1454.4</v>
      </c>
      <c r="M91" s="15">
        <v>1234.4</v>
      </c>
      <c r="N91" s="15">
        <v>1234.4</v>
      </c>
      <c r="O91" s="15">
        <v>1234.4</v>
      </c>
      <c r="P91" s="15">
        <v>1234.4</v>
      </c>
      <c r="Q91" s="15">
        <v>1234.4</v>
      </c>
      <c r="R91" s="15">
        <v>1234.4</v>
      </c>
      <c r="S91" s="15">
        <v>1167.2</v>
      </c>
      <c r="T91" s="16">
        <f t="shared" si="3"/>
        <v>14348.399999999998</v>
      </c>
      <c r="U91" s="17" t="s">
        <v>307</v>
      </c>
      <c r="V91" s="13" t="s">
        <v>121</v>
      </c>
    </row>
    <row r="92" spans="1:22" ht="15" customHeight="1">
      <c r="A92" s="11" t="s">
        <v>143</v>
      </c>
      <c r="B92" s="11" t="s">
        <v>145</v>
      </c>
      <c r="C92" s="12" t="s">
        <v>269</v>
      </c>
      <c r="D92" s="13" t="s">
        <v>270</v>
      </c>
      <c r="E92" s="14">
        <v>43556</v>
      </c>
      <c r="F92" s="12" t="s">
        <v>87</v>
      </c>
      <c r="G92" s="14">
        <v>45261</v>
      </c>
      <c r="H92" s="15">
        <v>2210</v>
      </c>
      <c r="I92" s="15">
        <v>1830</v>
      </c>
      <c r="J92" s="15">
        <v>2480</v>
      </c>
      <c r="K92" s="15">
        <v>860</v>
      </c>
      <c r="L92" s="15">
        <v>600</v>
      </c>
      <c r="M92" s="15">
        <v>1340</v>
      </c>
      <c r="N92" s="15">
        <v>1780</v>
      </c>
      <c r="O92" s="15">
        <v>2700</v>
      </c>
      <c r="P92" s="15">
        <v>2920</v>
      </c>
      <c r="Q92" s="15">
        <v>2260</v>
      </c>
      <c r="R92" s="15">
        <v>2180</v>
      </c>
      <c r="S92" s="15">
        <v>2310</v>
      </c>
      <c r="T92" s="16">
        <f t="shared" si="3"/>
        <v>23470</v>
      </c>
      <c r="U92" s="17" t="s">
        <v>307</v>
      </c>
      <c r="V92" s="13" t="s">
        <v>121</v>
      </c>
    </row>
    <row r="93" spans="1:22" ht="15" customHeight="1">
      <c r="A93" s="11" t="s">
        <v>143</v>
      </c>
      <c r="B93" s="11" t="s">
        <v>145</v>
      </c>
      <c r="C93" s="12" t="s">
        <v>195</v>
      </c>
      <c r="D93" s="13" t="s">
        <v>65</v>
      </c>
      <c r="E93" s="14">
        <v>43435</v>
      </c>
      <c r="F93" s="12" t="s">
        <v>74</v>
      </c>
      <c r="G93" s="14">
        <v>45261</v>
      </c>
      <c r="H93" s="15">
        <v>5932.5</v>
      </c>
      <c r="I93" s="15">
        <v>5901.75</v>
      </c>
      <c r="J93" s="15">
        <v>6419.5</v>
      </c>
      <c r="K93" s="15">
        <v>5823.5</v>
      </c>
      <c r="L93" s="15">
        <v>6743.25</v>
      </c>
      <c r="M93" s="15">
        <v>7219.5</v>
      </c>
      <c r="N93" s="15">
        <v>7071</v>
      </c>
      <c r="O93" s="15">
        <v>5328.5</v>
      </c>
      <c r="P93" s="15">
        <v>4703.75</v>
      </c>
      <c r="Q93" s="15">
        <v>4825.5</v>
      </c>
      <c r="R93" s="15">
        <v>4400.75</v>
      </c>
      <c r="S93" s="15">
        <v>4174</v>
      </c>
      <c r="T93" s="16">
        <f t="shared" si="3"/>
        <v>68543.5</v>
      </c>
      <c r="U93" s="17" t="s">
        <v>307</v>
      </c>
      <c r="V93" s="13" t="s">
        <v>121</v>
      </c>
    </row>
    <row r="94" spans="1:22" ht="15" customHeight="1">
      <c r="A94" s="11" t="s">
        <v>143</v>
      </c>
      <c r="B94" s="11" t="s">
        <v>145</v>
      </c>
      <c r="C94" s="12" t="s">
        <v>502</v>
      </c>
      <c r="D94" s="76" t="s">
        <v>504</v>
      </c>
      <c r="E94" s="14">
        <v>44838</v>
      </c>
      <c r="F94" s="12" t="s">
        <v>220</v>
      </c>
      <c r="G94" s="14">
        <v>45261</v>
      </c>
      <c r="H94" s="15"/>
      <c r="I94" s="15"/>
      <c r="J94" s="15"/>
      <c r="K94" s="15"/>
      <c r="L94" s="15"/>
      <c r="M94" s="15"/>
      <c r="N94" s="15"/>
      <c r="O94" s="15"/>
      <c r="P94" s="15"/>
      <c r="Q94" s="15">
        <v>1320</v>
      </c>
      <c r="R94" s="15">
        <v>1430</v>
      </c>
      <c r="S94" s="15">
        <v>1320</v>
      </c>
      <c r="T94" s="16">
        <f t="shared" si="3"/>
        <v>4070</v>
      </c>
      <c r="U94" s="17"/>
      <c r="V94" s="13"/>
    </row>
    <row r="95" spans="1:22" ht="15" customHeight="1">
      <c r="A95" s="11" t="s">
        <v>143</v>
      </c>
      <c r="B95" s="11" t="s">
        <v>145</v>
      </c>
      <c r="C95" s="12" t="s">
        <v>470</v>
      </c>
      <c r="D95" s="13" t="s">
        <v>475</v>
      </c>
      <c r="E95" s="14">
        <v>44635</v>
      </c>
      <c r="F95" s="12" t="s">
        <v>72</v>
      </c>
      <c r="G95" s="14">
        <v>44999</v>
      </c>
      <c r="H95" s="15">
        <v>0</v>
      </c>
      <c r="I95" s="15">
        <v>0</v>
      </c>
      <c r="J95" s="15">
        <v>1115</v>
      </c>
      <c r="K95" s="15">
        <v>1420</v>
      </c>
      <c r="L95" s="15">
        <v>1700</v>
      </c>
      <c r="M95" s="15">
        <v>1775</v>
      </c>
      <c r="N95" s="15">
        <v>1935</v>
      </c>
      <c r="O95" s="15">
        <v>2450</v>
      </c>
      <c r="P95" s="15">
        <v>1935</v>
      </c>
      <c r="Q95" s="15">
        <v>1709</v>
      </c>
      <c r="R95" s="15">
        <v>1935</v>
      </c>
      <c r="S95" s="15">
        <v>1985</v>
      </c>
      <c r="T95" s="16">
        <f t="shared" si="3"/>
        <v>17959</v>
      </c>
      <c r="U95" s="17" t="s">
        <v>307</v>
      </c>
      <c r="V95" s="13" t="s">
        <v>121</v>
      </c>
    </row>
    <row r="96" spans="1:22" ht="15" customHeight="1">
      <c r="A96" s="11" t="s">
        <v>143</v>
      </c>
      <c r="B96" s="11" t="s">
        <v>145</v>
      </c>
      <c r="C96" s="12" t="s">
        <v>239</v>
      </c>
      <c r="D96" s="13" t="s">
        <v>60</v>
      </c>
      <c r="E96" s="14">
        <v>43435</v>
      </c>
      <c r="F96" s="12" t="s">
        <v>85</v>
      </c>
      <c r="G96" s="14">
        <v>45261</v>
      </c>
      <c r="H96" s="15">
        <v>11979</v>
      </c>
      <c r="I96" s="15">
        <v>12540</v>
      </c>
      <c r="J96" s="15">
        <v>12906.67</v>
      </c>
      <c r="K96" s="15">
        <v>7810</v>
      </c>
      <c r="L96" s="69">
        <v>10046.67</v>
      </c>
      <c r="M96" s="15">
        <v>8250</v>
      </c>
      <c r="N96" s="15">
        <v>9166.67</v>
      </c>
      <c r="O96" s="15">
        <v>10193.33</v>
      </c>
      <c r="P96" s="15">
        <v>7480</v>
      </c>
      <c r="Q96" s="15">
        <v>8800</v>
      </c>
      <c r="R96" s="15">
        <v>7810</v>
      </c>
      <c r="S96" s="15">
        <v>6710</v>
      </c>
      <c r="T96" s="16">
        <f t="shared" si="3"/>
        <v>113692.34</v>
      </c>
      <c r="U96" s="17" t="s">
        <v>307</v>
      </c>
      <c r="V96" s="13" t="s">
        <v>121</v>
      </c>
    </row>
    <row r="97" spans="1:22" ht="15" customHeight="1">
      <c r="A97" s="11" t="s">
        <v>143</v>
      </c>
      <c r="B97" s="11" t="s">
        <v>145</v>
      </c>
      <c r="C97" s="12" t="s">
        <v>216</v>
      </c>
      <c r="D97" s="13" t="s">
        <v>101</v>
      </c>
      <c r="E97" s="14">
        <v>43435</v>
      </c>
      <c r="F97" s="12" t="s">
        <v>114</v>
      </c>
      <c r="G97" s="14">
        <v>45261</v>
      </c>
      <c r="H97" s="15">
        <v>3935.2</v>
      </c>
      <c r="I97" s="15">
        <v>4100.2</v>
      </c>
      <c r="J97" s="15">
        <v>0</v>
      </c>
      <c r="K97" s="15">
        <f>4265.2+6514</f>
        <v>10779.2</v>
      </c>
      <c r="L97" s="69">
        <v>3501.4</v>
      </c>
      <c r="M97" s="15">
        <v>5799</v>
      </c>
      <c r="N97" s="15">
        <v>5469</v>
      </c>
      <c r="O97" s="15">
        <v>4705.2</v>
      </c>
      <c r="P97" s="15">
        <v>6019</v>
      </c>
      <c r="Q97" s="15">
        <v>5469</v>
      </c>
      <c r="R97" s="15">
        <v>4760.2</v>
      </c>
      <c r="S97" s="15">
        <v>3791.97</v>
      </c>
      <c r="T97" s="16">
        <f t="shared" si="3"/>
        <v>58329.369999999995</v>
      </c>
      <c r="U97" s="17" t="s">
        <v>307</v>
      </c>
      <c r="V97" s="13" t="s">
        <v>121</v>
      </c>
    </row>
    <row r="98" spans="1:22" ht="30" customHeight="1">
      <c r="A98" s="11" t="s">
        <v>143</v>
      </c>
      <c r="B98" s="11" t="s">
        <v>145</v>
      </c>
      <c r="C98" s="12" t="s">
        <v>237</v>
      </c>
      <c r="D98" s="13" t="s">
        <v>63</v>
      </c>
      <c r="E98" s="14">
        <v>43435</v>
      </c>
      <c r="F98" s="12" t="s">
        <v>151</v>
      </c>
      <c r="G98" s="14">
        <v>45261</v>
      </c>
      <c r="H98" s="15">
        <v>5240</v>
      </c>
      <c r="I98" s="15">
        <v>6140</v>
      </c>
      <c r="J98" s="15">
        <v>6790</v>
      </c>
      <c r="K98" s="15">
        <v>8225</v>
      </c>
      <c r="L98" s="69">
        <v>5680</v>
      </c>
      <c r="M98" s="15">
        <v>7120</v>
      </c>
      <c r="N98" s="15">
        <v>6200</v>
      </c>
      <c r="O98" s="15">
        <v>5790</v>
      </c>
      <c r="P98" s="15">
        <v>6570</v>
      </c>
      <c r="Q98" s="15">
        <v>2320</v>
      </c>
      <c r="R98" s="15">
        <v>6145</v>
      </c>
      <c r="S98" s="15">
        <v>2000</v>
      </c>
      <c r="T98" s="16">
        <f t="shared" si="3"/>
        <v>68220</v>
      </c>
      <c r="U98" s="17" t="s">
        <v>307</v>
      </c>
      <c r="V98" s="13" t="s">
        <v>121</v>
      </c>
    </row>
    <row r="99" spans="1:22" ht="15" customHeight="1">
      <c r="A99" s="11" t="s">
        <v>143</v>
      </c>
      <c r="B99" s="11" t="s">
        <v>145</v>
      </c>
      <c r="C99" s="12" t="s">
        <v>238</v>
      </c>
      <c r="D99" s="13" t="s">
        <v>62</v>
      </c>
      <c r="E99" s="14">
        <v>43435</v>
      </c>
      <c r="F99" s="12" t="s">
        <v>71</v>
      </c>
      <c r="G99" s="14">
        <v>45261</v>
      </c>
      <c r="H99" s="15">
        <v>16445</v>
      </c>
      <c r="I99" s="15">
        <v>20052.5</v>
      </c>
      <c r="J99" s="15">
        <v>26042.5</v>
      </c>
      <c r="K99" s="15">
        <v>25487.5</v>
      </c>
      <c r="L99" s="69">
        <v>26767.5</v>
      </c>
      <c r="M99" s="15">
        <v>26832.5</v>
      </c>
      <c r="N99" s="15">
        <v>26330</v>
      </c>
      <c r="O99" s="15">
        <v>29152.5</v>
      </c>
      <c r="P99" s="15">
        <v>30297.5</v>
      </c>
      <c r="Q99" s="15">
        <v>15835</v>
      </c>
      <c r="R99" s="15">
        <v>14510</v>
      </c>
      <c r="S99" s="15">
        <v>27012.5</v>
      </c>
      <c r="T99" s="16">
        <f t="shared" si="3"/>
        <v>284765</v>
      </c>
      <c r="U99" s="17" t="s">
        <v>307</v>
      </c>
      <c r="V99" s="13" t="s">
        <v>121</v>
      </c>
    </row>
    <row r="100" spans="1:22" ht="15" customHeight="1">
      <c r="A100" s="11" t="s">
        <v>143</v>
      </c>
      <c r="B100" s="11" t="s">
        <v>145</v>
      </c>
      <c r="C100" s="12" t="s">
        <v>277</v>
      </c>
      <c r="D100" s="13" t="s">
        <v>278</v>
      </c>
      <c r="E100" s="14">
        <v>43684</v>
      </c>
      <c r="F100" s="12" t="s">
        <v>268</v>
      </c>
      <c r="G100" s="14">
        <v>45261</v>
      </c>
      <c r="H100" s="15">
        <v>5280</v>
      </c>
      <c r="I100" s="15">
        <v>5307.5</v>
      </c>
      <c r="J100" s="15">
        <v>5720</v>
      </c>
      <c r="K100" s="15">
        <v>4840</v>
      </c>
      <c r="L100" s="69">
        <v>3960</v>
      </c>
      <c r="M100" s="15">
        <v>5747.5</v>
      </c>
      <c r="N100" s="15">
        <v>5280</v>
      </c>
      <c r="O100" s="15">
        <v>6160</v>
      </c>
      <c r="P100" s="15">
        <v>3135</v>
      </c>
      <c r="Q100" s="15">
        <v>4620</v>
      </c>
      <c r="R100" s="15">
        <v>5280</v>
      </c>
      <c r="S100" s="15">
        <v>3520</v>
      </c>
      <c r="T100" s="16">
        <f aca="true" t="shared" si="4" ref="T100:T106">SUM(H100:S100)</f>
        <v>58850</v>
      </c>
      <c r="U100" s="17" t="s">
        <v>307</v>
      </c>
      <c r="V100" s="13" t="s">
        <v>121</v>
      </c>
    </row>
    <row r="101" spans="1:22" ht="15" customHeight="1">
      <c r="A101" s="11" t="s">
        <v>143</v>
      </c>
      <c r="B101" s="11" t="s">
        <v>145</v>
      </c>
      <c r="C101" s="12" t="s">
        <v>207</v>
      </c>
      <c r="D101" s="13" t="s">
        <v>213</v>
      </c>
      <c r="E101" s="14">
        <v>43497</v>
      </c>
      <c r="F101" s="12" t="s">
        <v>185</v>
      </c>
      <c r="G101" s="14">
        <v>45261</v>
      </c>
      <c r="H101" s="15">
        <v>13203.6</v>
      </c>
      <c r="I101" s="15">
        <v>14703.2</v>
      </c>
      <c r="J101" s="15">
        <v>15691.33</v>
      </c>
      <c r="K101" s="15">
        <v>12043.6</v>
      </c>
      <c r="L101" s="69">
        <v>14023.2</v>
      </c>
      <c r="M101" s="15">
        <v>9258.8</v>
      </c>
      <c r="N101" s="15">
        <v>14163.2</v>
      </c>
      <c r="O101" s="15">
        <v>14130.01</v>
      </c>
      <c r="P101" s="15">
        <v>13060</v>
      </c>
      <c r="Q101" s="15">
        <v>13700</v>
      </c>
      <c r="R101" s="15">
        <v>12580</v>
      </c>
      <c r="S101" s="15">
        <v>12270</v>
      </c>
      <c r="T101" s="16">
        <f t="shared" si="4"/>
        <v>158826.94</v>
      </c>
      <c r="U101" s="17" t="s">
        <v>307</v>
      </c>
      <c r="V101" s="13" t="s">
        <v>121</v>
      </c>
    </row>
    <row r="102" spans="1:22" ht="15" customHeight="1">
      <c r="A102" s="11" t="s">
        <v>143</v>
      </c>
      <c r="B102" s="11" t="s">
        <v>145</v>
      </c>
      <c r="C102" s="12" t="s">
        <v>425</v>
      </c>
      <c r="D102" s="13" t="s">
        <v>426</v>
      </c>
      <c r="E102" s="14">
        <v>44166</v>
      </c>
      <c r="F102" s="12" t="s">
        <v>177</v>
      </c>
      <c r="G102" s="14">
        <v>45261</v>
      </c>
      <c r="H102" s="15">
        <v>5417.5</v>
      </c>
      <c r="I102" s="15">
        <v>4637.5</v>
      </c>
      <c r="J102" s="15">
        <v>6230</v>
      </c>
      <c r="K102" s="15">
        <v>4885</v>
      </c>
      <c r="L102" s="69">
        <v>10160</v>
      </c>
      <c r="M102" s="15">
        <v>3497.5</v>
      </c>
      <c r="N102" s="15">
        <v>0</v>
      </c>
      <c r="O102" s="15">
        <v>3220</v>
      </c>
      <c r="P102" s="15">
        <v>4952.5</v>
      </c>
      <c r="Q102" s="15">
        <v>5072.5</v>
      </c>
      <c r="R102" s="15">
        <v>4215</v>
      </c>
      <c r="S102" s="15">
        <v>4622.5</v>
      </c>
      <c r="T102" s="16">
        <f>SUM(H102:S102)</f>
        <v>56910</v>
      </c>
      <c r="U102" s="17" t="s">
        <v>307</v>
      </c>
      <c r="V102" s="13" t="s">
        <v>121</v>
      </c>
    </row>
    <row r="103" spans="1:22" ht="15" customHeight="1">
      <c r="A103" s="11" t="s">
        <v>143</v>
      </c>
      <c r="B103" s="11" t="s">
        <v>145</v>
      </c>
      <c r="C103" s="12" t="s">
        <v>459</v>
      </c>
      <c r="D103" s="13" t="s">
        <v>462</v>
      </c>
      <c r="E103" s="14">
        <v>44509</v>
      </c>
      <c r="F103" s="12" t="s">
        <v>452</v>
      </c>
      <c r="G103" s="14">
        <v>45261</v>
      </c>
      <c r="H103" s="15">
        <v>5060</v>
      </c>
      <c r="I103" s="15">
        <v>5640</v>
      </c>
      <c r="J103" s="15">
        <v>7470</v>
      </c>
      <c r="K103" s="15">
        <v>5306.67</v>
      </c>
      <c r="L103" s="69">
        <v>6620</v>
      </c>
      <c r="M103" s="15">
        <v>3813.33</v>
      </c>
      <c r="N103" s="15">
        <v>3670</v>
      </c>
      <c r="O103" s="15">
        <v>3580</v>
      </c>
      <c r="P103" s="15">
        <v>3706.67</v>
      </c>
      <c r="Q103" s="15">
        <v>3700</v>
      </c>
      <c r="R103" s="15">
        <v>2193.33</v>
      </c>
      <c r="S103" s="15">
        <v>3650</v>
      </c>
      <c r="T103" s="16">
        <f>SUM(H103:S103)</f>
        <v>54410</v>
      </c>
      <c r="U103" s="17" t="s">
        <v>307</v>
      </c>
      <c r="V103" s="13" t="s">
        <v>121</v>
      </c>
    </row>
    <row r="104" spans="1:22" ht="15" customHeight="1">
      <c r="A104" s="11" t="s">
        <v>143</v>
      </c>
      <c r="B104" s="11" t="s">
        <v>145</v>
      </c>
      <c r="C104" s="12" t="s">
        <v>340</v>
      </c>
      <c r="D104" s="13" t="s">
        <v>348</v>
      </c>
      <c r="E104" s="14">
        <v>43892</v>
      </c>
      <c r="F104" s="12" t="s">
        <v>353</v>
      </c>
      <c r="G104" s="14">
        <v>45261</v>
      </c>
      <c r="H104" s="15">
        <v>2667.5</v>
      </c>
      <c r="I104" s="15">
        <v>2997.5</v>
      </c>
      <c r="J104" s="15">
        <v>3575</v>
      </c>
      <c r="K104" s="15">
        <v>3465</v>
      </c>
      <c r="L104" s="69">
        <v>3052.5</v>
      </c>
      <c r="M104" s="15">
        <v>4510</v>
      </c>
      <c r="N104" s="15">
        <v>4537.5</v>
      </c>
      <c r="O104" s="15">
        <v>5610</v>
      </c>
      <c r="P104" s="15">
        <v>4510</v>
      </c>
      <c r="Q104" s="15">
        <v>5610</v>
      </c>
      <c r="R104" s="15">
        <v>4290</v>
      </c>
      <c r="S104" s="15">
        <v>4235</v>
      </c>
      <c r="T104" s="16">
        <f t="shared" si="4"/>
        <v>49060</v>
      </c>
      <c r="U104" s="17" t="s">
        <v>307</v>
      </c>
      <c r="V104" s="13" t="s">
        <v>121</v>
      </c>
    </row>
    <row r="105" spans="1:22" ht="15" customHeight="1">
      <c r="A105" s="11" t="s">
        <v>143</v>
      </c>
      <c r="B105" s="11" t="s">
        <v>145</v>
      </c>
      <c r="C105" s="12" t="s">
        <v>192</v>
      </c>
      <c r="D105" s="13" t="s">
        <v>67</v>
      </c>
      <c r="E105" s="14">
        <v>43435</v>
      </c>
      <c r="F105" s="12" t="s">
        <v>472</v>
      </c>
      <c r="G105" s="14">
        <v>45261</v>
      </c>
      <c r="H105" s="15">
        <v>16280</v>
      </c>
      <c r="I105" s="15">
        <v>14960</v>
      </c>
      <c r="J105" s="15">
        <v>16060</v>
      </c>
      <c r="K105" s="15">
        <v>16830</v>
      </c>
      <c r="L105" s="69">
        <v>19140</v>
      </c>
      <c r="M105" s="15">
        <v>14190</v>
      </c>
      <c r="N105" s="15">
        <v>17820</v>
      </c>
      <c r="O105" s="15">
        <v>17820</v>
      </c>
      <c r="P105" s="15">
        <v>17930</v>
      </c>
      <c r="Q105" s="15">
        <v>15290</v>
      </c>
      <c r="R105" s="15">
        <v>12320</v>
      </c>
      <c r="S105" s="15">
        <v>12870</v>
      </c>
      <c r="T105" s="16">
        <f t="shared" si="4"/>
        <v>191510</v>
      </c>
      <c r="U105" s="17" t="s">
        <v>307</v>
      </c>
      <c r="V105" s="13" t="s">
        <v>121</v>
      </c>
    </row>
    <row r="106" spans="1:22" ht="15" customHeight="1">
      <c r="A106" s="11" t="s">
        <v>143</v>
      </c>
      <c r="B106" s="11" t="s">
        <v>145</v>
      </c>
      <c r="C106" s="12" t="s">
        <v>191</v>
      </c>
      <c r="D106" s="13" t="s">
        <v>68</v>
      </c>
      <c r="E106" s="14">
        <v>43435</v>
      </c>
      <c r="F106" s="12" t="s">
        <v>90</v>
      </c>
      <c r="G106" s="14">
        <v>45261</v>
      </c>
      <c r="H106" s="15">
        <v>6600</v>
      </c>
      <c r="I106" s="15">
        <v>5550</v>
      </c>
      <c r="J106" s="15">
        <v>6600</v>
      </c>
      <c r="K106" s="15">
        <v>6627.5</v>
      </c>
      <c r="L106" s="69">
        <v>8327.5</v>
      </c>
      <c r="M106" s="15">
        <v>5087.5</v>
      </c>
      <c r="N106" s="15">
        <v>6700</v>
      </c>
      <c r="O106" s="15">
        <v>7277.5</v>
      </c>
      <c r="P106" s="15">
        <v>6627.5</v>
      </c>
      <c r="Q106" s="15">
        <v>6600</v>
      </c>
      <c r="R106" s="15">
        <v>5990</v>
      </c>
      <c r="S106" s="15">
        <v>6210</v>
      </c>
      <c r="T106" s="16">
        <f t="shared" si="4"/>
        <v>78197.5</v>
      </c>
      <c r="U106" s="17" t="s">
        <v>307</v>
      </c>
      <c r="V106" s="13" t="s">
        <v>121</v>
      </c>
    </row>
    <row r="107" spans="1:27" ht="15" customHeight="1">
      <c r="A107" s="81" t="s">
        <v>0</v>
      </c>
      <c r="B107" s="81"/>
      <c r="C107" s="81"/>
      <c r="D107" s="81"/>
      <c r="E107" s="81"/>
      <c r="F107" s="81"/>
      <c r="G107" s="81"/>
      <c r="H107" s="74">
        <f aca="true" t="shared" si="5" ref="H107:R107">SUM(H30:H106)</f>
        <v>590952.09</v>
      </c>
      <c r="I107" s="74">
        <f t="shared" si="5"/>
        <v>644716.1599999998</v>
      </c>
      <c r="J107" s="74">
        <f t="shared" si="5"/>
        <v>756366.24</v>
      </c>
      <c r="K107" s="74">
        <f t="shared" si="5"/>
        <v>747104.02</v>
      </c>
      <c r="L107" s="74">
        <f t="shared" si="5"/>
        <v>823552.25</v>
      </c>
      <c r="M107" s="74">
        <f t="shared" si="5"/>
        <v>787090.3099999999</v>
      </c>
      <c r="N107" s="74">
        <f t="shared" si="5"/>
        <v>771813.8</v>
      </c>
      <c r="O107" s="74">
        <f t="shared" si="5"/>
        <v>831161.443</v>
      </c>
      <c r="P107" s="74">
        <f t="shared" si="5"/>
        <v>839723.0800000002</v>
      </c>
      <c r="Q107" s="74">
        <f t="shared" si="5"/>
        <v>632551.8700000001</v>
      </c>
      <c r="R107" s="74">
        <f t="shared" si="5"/>
        <v>604531.89</v>
      </c>
      <c r="S107" s="74">
        <f>SUM(S30:S106)</f>
        <v>701584.8499999999</v>
      </c>
      <c r="T107" s="16">
        <f>SUM(H107:S107)</f>
        <v>8731148.002999999</v>
      </c>
      <c r="U107" s="87"/>
      <c r="V107" s="87"/>
      <c r="W107" s="63"/>
      <c r="X107" s="63"/>
      <c r="Y107" s="63"/>
      <c r="Z107" s="70"/>
      <c r="AA107" s="63"/>
    </row>
    <row r="108" spans="1:24" ht="15" customHeight="1">
      <c r="A108" s="24"/>
      <c r="B108" s="24"/>
      <c r="C108" s="24"/>
      <c r="D108" s="24"/>
      <c r="E108" s="24"/>
      <c r="F108" s="24"/>
      <c r="G108" s="24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6"/>
      <c r="U108" s="26"/>
      <c r="V108" s="27"/>
      <c r="W108" s="63"/>
      <c r="X108" s="63"/>
    </row>
    <row r="109" spans="1:23" s="21" customFormat="1" ht="15" customHeight="1">
      <c r="A109" s="83" t="s">
        <v>392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5"/>
      <c r="W109" s="62"/>
    </row>
    <row r="110" spans="1:23" ht="15" customHeight="1">
      <c r="A110" s="11" t="s">
        <v>336</v>
      </c>
      <c r="B110" s="11" t="s">
        <v>145</v>
      </c>
      <c r="C110" s="12" t="s">
        <v>118</v>
      </c>
      <c r="D110" s="13" t="s">
        <v>119</v>
      </c>
      <c r="E110" s="14">
        <v>43435</v>
      </c>
      <c r="F110" s="18" t="s">
        <v>13</v>
      </c>
      <c r="G110" s="14">
        <v>44895</v>
      </c>
      <c r="H110" s="15">
        <v>221746.15</v>
      </c>
      <c r="I110" s="15">
        <v>205396.66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6">
        <f>SUM(H110:S110)</f>
        <v>427142.81</v>
      </c>
      <c r="U110" s="17" t="s">
        <v>307</v>
      </c>
      <c r="V110" s="13" t="s">
        <v>121</v>
      </c>
      <c r="W110" s="63"/>
    </row>
    <row r="111" spans="1:23" ht="15" customHeight="1">
      <c r="A111" s="11" t="s">
        <v>143</v>
      </c>
      <c r="B111" s="11" t="s">
        <v>145</v>
      </c>
      <c r="C111" s="12" t="s">
        <v>467</v>
      </c>
      <c r="D111" s="13" t="s">
        <v>468</v>
      </c>
      <c r="E111" s="14">
        <v>44623</v>
      </c>
      <c r="F111" s="18" t="s">
        <v>13</v>
      </c>
      <c r="G111" s="14">
        <v>44987</v>
      </c>
      <c r="H111" s="15">
        <v>0</v>
      </c>
      <c r="I111" s="15">
        <v>0</v>
      </c>
      <c r="J111" s="15">
        <v>123991.58</v>
      </c>
      <c r="K111" s="15">
        <v>115500.03</v>
      </c>
      <c r="L111" s="15">
        <v>137089.81</v>
      </c>
      <c r="M111" s="15">
        <v>127782.01</v>
      </c>
      <c r="N111" s="15">
        <v>124091.24</v>
      </c>
      <c r="O111" s="15">
        <v>131831.32</v>
      </c>
      <c r="P111" s="15">
        <v>120428.08</v>
      </c>
      <c r="Q111" s="15">
        <v>119181.53</v>
      </c>
      <c r="R111" s="15">
        <v>125101.62</v>
      </c>
      <c r="S111" s="15">
        <v>101530.86</v>
      </c>
      <c r="T111" s="16">
        <f>SUM(H111:S111)</f>
        <v>1226528.08</v>
      </c>
      <c r="U111" s="17" t="s">
        <v>307</v>
      </c>
      <c r="V111" s="13" t="s">
        <v>121</v>
      </c>
      <c r="W111" s="63"/>
    </row>
    <row r="112" spans="1:22" ht="15" customHeight="1">
      <c r="A112" s="11" t="s">
        <v>143</v>
      </c>
      <c r="B112" s="11" t="s">
        <v>145</v>
      </c>
      <c r="C112" s="12" t="s">
        <v>93</v>
      </c>
      <c r="D112" s="13" t="s">
        <v>22</v>
      </c>
      <c r="E112" s="14">
        <v>43435</v>
      </c>
      <c r="F112" s="18" t="s">
        <v>35</v>
      </c>
      <c r="G112" s="14">
        <v>45261</v>
      </c>
      <c r="H112" s="15">
        <v>1500</v>
      </c>
      <c r="I112" s="15">
        <v>1500</v>
      </c>
      <c r="J112" s="15">
        <v>1500</v>
      </c>
      <c r="K112" s="15">
        <v>1500</v>
      </c>
      <c r="L112" s="15">
        <v>1500</v>
      </c>
      <c r="M112" s="15">
        <v>1500</v>
      </c>
      <c r="N112" s="15">
        <v>1500</v>
      </c>
      <c r="O112" s="15">
        <v>1500</v>
      </c>
      <c r="P112" s="15">
        <v>1500</v>
      </c>
      <c r="Q112" s="15">
        <v>1500</v>
      </c>
      <c r="R112" s="15">
        <v>1500</v>
      </c>
      <c r="S112" s="15">
        <v>1500</v>
      </c>
      <c r="T112" s="16">
        <f>SUM(H112:S112)</f>
        <v>18000</v>
      </c>
      <c r="U112" s="17" t="s">
        <v>313</v>
      </c>
      <c r="V112" s="13" t="s">
        <v>121</v>
      </c>
    </row>
    <row r="113" spans="1:23" ht="15" customHeight="1">
      <c r="A113" s="81"/>
      <c r="B113" s="81"/>
      <c r="C113" s="81"/>
      <c r="D113" s="81"/>
      <c r="E113" s="81"/>
      <c r="F113" s="81"/>
      <c r="G113" s="81"/>
      <c r="H113" s="74">
        <f aca="true" t="shared" si="6" ref="H113:S113">SUM(H110:H112)</f>
        <v>223246.15</v>
      </c>
      <c r="I113" s="74">
        <f t="shared" si="6"/>
        <v>206896.66</v>
      </c>
      <c r="J113" s="74">
        <f t="shared" si="6"/>
        <v>125491.58</v>
      </c>
      <c r="K113" s="74">
        <f t="shared" si="6"/>
        <v>117000.03</v>
      </c>
      <c r="L113" s="74">
        <f t="shared" si="6"/>
        <v>138589.81</v>
      </c>
      <c r="M113" s="74">
        <f t="shared" si="6"/>
        <v>129282.01</v>
      </c>
      <c r="N113" s="74">
        <f t="shared" si="6"/>
        <v>125591.24</v>
      </c>
      <c r="O113" s="74">
        <f t="shared" si="6"/>
        <v>133331.32</v>
      </c>
      <c r="P113" s="74">
        <f t="shared" si="6"/>
        <v>121928.08</v>
      </c>
      <c r="Q113" s="74">
        <f t="shared" si="6"/>
        <v>120681.53</v>
      </c>
      <c r="R113" s="74">
        <f t="shared" si="6"/>
        <v>126601.62</v>
      </c>
      <c r="S113" s="74">
        <f t="shared" si="6"/>
        <v>103030.86</v>
      </c>
      <c r="T113" s="16">
        <f>SUM(H113:S113)</f>
        <v>1671670.8900000004</v>
      </c>
      <c r="U113" s="87"/>
      <c r="V113" s="87"/>
      <c r="W113" s="63"/>
    </row>
    <row r="114" spans="1:22" ht="15" customHeight="1">
      <c r="A114" s="24"/>
      <c r="B114" s="24"/>
      <c r="C114" s="24"/>
      <c r="D114" s="24"/>
      <c r="E114" s="24"/>
      <c r="F114" s="24"/>
      <c r="G114" s="24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6"/>
      <c r="U114" s="26"/>
      <c r="V114" s="27"/>
    </row>
    <row r="115" spans="1:22" s="21" customFormat="1" ht="15" customHeight="1">
      <c r="A115" s="83" t="s">
        <v>416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5"/>
    </row>
    <row r="116" spans="1:22" ht="15" customHeight="1">
      <c r="A116" s="11" t="s">
        <v>336</v>
      </c>
      <c r="B116" s="11" t="s">
        <v>145</v>
      </c>
      <c r="C116" s="12" t="s">
        <v>445</v>
      </c>
      <c r="D116" s="13" t="s">
        <v>444</v>
      </c>
      <c r="E116" s="14">
        <v>44440</v>
      </c>
      <c r="F116" s="12" t="s">
        <v>352</v>
      </c>
      <c r="G116" s="14">
        <v>44678</v>
      </c>
      <c r="H116" s="15">
        <v>5000</v>
      </c>
      <c r="I116" s="15">
        <v>5000</v>
      </c>
      <c r="J116" s="15">
        <v>5000</v>
      </c>
      <c r="K116" s="15">
        <v>5000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6">
        <f>SUM(H116:S116)</f>
        <v>20000</v>
      </c>
      <c r="U116" s="17" t="s">
        <v>415</v>
      </c>
      <c r="V116" s="13" t="s">
        <v>121</v>
      </c>
    </row>
    <row r="117" spans="1:22" ht="15" customHeight="1">
      <c r="A117" s="11" t="s">
        <v>143</v>
      </c>
      <c r="B117" s="11" t="s">
        <v>145</v>
      </c>
      <c r="C117" s="12" t="s">
        <v>261</v>
      </c>
      <c r="D117" s="13" t="s">
        <v>106</v>
      </c>
      <c r="E117" s="14">
        <v>44683</v>
      </c>
      <c r="F117" s="12" t="s">
        <v>352</v>
      </c>
      <c r="G117" s="14">
        <v>45051</v>
      </c>
      <c r="H117" s="15">
        <v>0</v>
      </c>
      <c r="I117" s="15">
        <v>0</v>
      </c>
      <c r="J117" s="15">
        <v>0</v>
      </c>
      <c r="K117" s="15">
        <v>0</v>
      </c>
      <c r="L117" s="15">
        <v>5000</v>
      </c>
      <c r="M117" s="15">
        <v>5000</v>
      </c>
      <c r="N117" s="15">
        <v>5000</v>
      </c>
      <c r="O117" s="15">
        <v>5000</v>
      </c>
      <c r="P117" s="15">
        <v>5000</v>
      </c>
      <c r="Q117" s="15">
        <v>5000</v>
      </c>
      <c r="R117" s="15">
        <v>5000</v>
      </c>
      <c r="S117" s="15">
        <v>5000</v>
      </c>
      <c r="T117" s="16">
        <f>SUM(H117:S117)</f>
        <v>40000</v>
      </c>
      <c r="U117" s="17" t="s">
        <v>307</v>
      </c>
      <c r="V117" s="13" t="s">
        <v>121</v>
      </c>
    </row>
    <row r="118" spans="1:22" ht="15" customHeight="1">
      <c r="A118" s="81" t="s">
        <v>0</v>
      </c>
      <c r="B118" s="81"/>
      <c r="C118" s="81"/>
      <c r="D118" s="81"/>
      <c r="E118" s="81"/>
      <c r="F118" s="81"/>
      <c r="G118" s="81"/>
      <c r="H118" s="74">
        <f>SUM(H116:H117)</f>
        <v>5000</v>
      </c>
      <c r="I118" s="74">
        <f aca="true" t="shared" si="7" ref="I118:T118">SUM(I116:I117)</f>
        <v>5000</v>
      </c>
      <c r="J118" s="74">
        <f t="shared" si="7"/>
        <v>5000</v>
      </c>
      <c r="K118" s="74">
        <f t="shared" si="7"/>
        <v>5000</v>
      </c>
      <c r="L118" s="74">
        <f t="shared" si="7"/>
        <v>5000</v>
      </c>
      <c r="M118" s="74">
        <f t="shared" si="7"/>
        <v>5000</v>
      </c>
      <c r="N118" s="74">
        <f t="shared" si="7"/>
        <v>5000</v>
      </c>
      <c r="O118" s="74">
        <f t="shared" si="7"/>
        <v>5000</v>
      </c>
      <c r="P118" s="74">
        <f t="shared" si="7"/>
        <v>5000</v>
      </c>
      <c r="Q118" s="74">
        <f t="shared" si="7"/>
        <v>5000</v>
      </c>
      <c r="R118" s="74">
        <f t="shared" si="7"/>
        <v>5000</v>
      </c>
      <c r="S118" s="74">
        <f t="shared" si="7"/>
        <v>5000</v>
      </c>
      <c r="T118" s="74">
        <f t="shared" si="7"/>
        <v>60000</v>
      </c>
      <c r="U118" s="87"/>
      <c r="V118" s="87"/>
    </row>
    <row r="119" spans="1:22" ht="15" customHeight="1">
      <c r="A119" s="24"/>
      <c r="B119" s="24"/>
      <c r="C119" s="24"/>
      <c r="D119" s="24"/>
      <c r="E119" s="24"/>
      <c r="F119" s="24"/>
      <c r="G119" s="24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6"/>
      <c r="U119" s="26"/>
      <c r="V119" s="27"/>
    </row>
    <row r="120" spans="1:22" s="21" customFormat="1" ht="15" customHeight="1">
      <c r="A120" s="83" t="s">
        <v>417</v>
      </c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5"/>
    </row>
    <row r="121" spans="1:22" ht="15" customHeight="1">
      <c r="A121" s="11" t="s">
        <v>143</v>
      </c>
      <c r="B121" s="11" t="s">
        <v>145</v>
      </c>
      <c r="C121" s="12" t="s">
        <v>418</v>
      </c>
      <c r="D121" s="13" t="s">
        <v>419</v>
      </c>
      <c r="E121" s="14">
        <v>44075</v>
      </c>
      <c r="F121" s="18" t="s">
        <v>116</v>
      </c>
      <c r="G121" s="14">
        <v>45246</v>
      </c>
      <c r="H121" s="15">
        <v>3000</v>
      </c>
      <c r="I121" s="15">
        <v>3000</v>
      </c>
      <c r="J121" s="15">
        <v>3000</v>
      </c>
      <c r="K121" s="15">
        <v>3000</v>
      </c>
      <c r="L121" s="15">
        <v>3000</v>
      </c>
      <c r="M121" s="15">
        <v>3000</v>
      </c>
      <c r="N121" s="15">
        <v>3000</v>
      </c>
      <c r="O121" s="15">
        <v>3000</v>
      </c>
      <c r="P121" s="15">
        <v>3000</v>
      </c>
      <c r="Q121" s="15">
        <v>3000</v>
      </c>
      <c r="R121" s="15">
        <v>3000</v>
      </c>
      <c r="S121" s="15">
        <v>3000</v>
      </c>
      <c r="T121" s="16">
        <f>SUM(H121:S121)</f>
        <v>36000</v>
      </c>
      <c r="U121" s="17" t="s">
        <v>313</v>
      </c>
      <c r="V121" s="13" t="s">
        <v>121</v>
      </c>
    </row>
    <row r="122" spans="1:22" ht="15" customHeight="1">
      <c r="A122" s="81" t="s">
        <v>0</v>
      </c>
      <c r="B122" s="81"/>
      <c r="C122" s="81"/>
      <c r="D122" s="81"/>
      <c r="E122" s="81"/>
      <c r="F122" s="81"/>
      <c r="G122" s="81"/>
      <c r="H122" s="74">
        <f aca="true" t="shared" si="8" ref="H122:S122">SUM(H121:H121)</f>
        <v>3000</v>
      </c>
      <c r="I122" s="74">
        <f t="shared" si="8"/>
        <v>3000</v>
      </c>
      <c r="J122" s="74">
        <f t="shared" si="8"/>
        <v>3000</v>
      </c>
      <c r="K122" s="74">
        <f t="shared" si="8"/>
        <v>3000</v>
      </c>
      <c r="L122" s="74">
        <f t="shared" si="8"/>
        <v>3000</v>
      </c>
      <c r="M122" s="74">
        <f t="shared" si="8"/>
        <v>3000</v>
      </c>
      <c r="N122" s="74">
        <f t="shared" si="8"/>
        <v>3000</v>
      </c>
      <c r="O122" s="74">
        <f t="shared" si="8"/>
        <v>3000</v>
      </c>
      <c r="P122" s="74">
        <f t="shared" si="8"/>
        <v>3000</v>
      </c>
      <c r="Q122" s="74">
        <f t="shared" si="8"/>
        <v>3000</v>
      </c>
      <c r="R122" s="74">
        <f t="shared" si="8"/>
        <v>3000</v>
      </c>
      <c r="S122" s="74">
        <f t="shared" si="8"/>
        <v>3000</v>
      </c>
      <c r="T122" s="16">
        <f>SUM(H122:S122)</f>
        <v>36000</v>
      </c>
      <c r="U122" s="87"/>
      <c r="V122" s="87"/>
    </row>
    <row r="123" spans="1:22" ht="15" customHeight="1">
      <c r="A123" s="24"/>
      <c r="B123" s="24"/>
      <c r="C123" s="24"/>
      <c r="D123" s="24"/>
      <c r="E123" s="24"/>
      <c r="F123" s="24"/>
      <c r="G123" s="24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6"/>
      <c r="U123" s="26"/>
      <c r="V123" s="27"/>
    </row>
    <row r="124" spans="1:22" s="21" customFormat="1" ht="15" customHeight="1">
      <c r="A124" s="83" t="s">
        <v>393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5"/>
    </row>
    <row r="125" spans="1:22" ht="15" customHeight="1">
      <c r="A125" s="11" t="s">
        <v>143</v>
      </c>
      <c r="B125" s="11" t="s">
        <v>145</v>
      </c>
      <c r="C125" s="12" t="s">
        <v>410</v>
      </c>
      <c r="D125" s="13" t="s">
        <v>108</v>
      </c>
      <c r="E125" s="14">
        <v>43435</v>
      </c>
      <c r="F125" s="18" t="s">
        <v>10</v>
      </c>
      <c r="G125" s="14">
        <v>44926</v>
      </c>
      <c r="H125" s="15">
        <v>778.38</v>
      </c>
      <c r="I125" s="15">
        <v>778.38</v>
      </c>
      <c r="J125" s="15">
        <v>778.38</v>
      </c>
      <c r="K125" s="15">
        <v>778.38</v>
      </c>
      <c r="L125" s="15">
        <v>778.38</v>
      </c>
      <c r="M125" s="15">
        <v>778.38</v>
      </c>
      <c r="N125" s="15">
        <v>778.38</v>
      </c>
      <c r="O125" s="15">
        <v>778.38</v>
      </c>
      <c r="P125" s="15">
        <v>778.38</v>
      </c>
      <c r="Q125" s="15">
        <v>778.38</v>
      </c>
      <c r="R125" s="15">
        <v>778.38</v>
      </c>
      <c r="S125" s="15">
        <v>778.38</v>
      </c>
      <c r="T125" s="16">
        <f>SUM(H125:S125)</f>
        <v>9340.56</v>
      </c>
      <c r="U125" s="17" t="s">
        <v>310</v>
      </c>
      <c r="V125" s="13" t="s">
        <v>121</v>
      </c>
    </row>
    <row r="126" spans="1:22" ht="15" customHeight="1">
      <c r="A126" s="81"/>
      <c r="B126" s="81"/>
      <c r="C126" s="81"/>
      <c r="D126" s="81"/>
      <c r="E126" s="81"/>
      <c r="F126" s="81"/>
      <c r="G126" s="81"/>
      <c r="H126" s="74">
        <f aca="true" t="shared" si="9" ref="H126:S126">SUM(H125:H125)</f>
        <v>778.38</v>
      </c>
      <c r="I126" s="74">
        <f t="shared" si="9"/>
        <v>778.38</v>
      </c>
      <c r="J126" s="74">
        <f t="shared" si="9"/>
        <v>778.38</v>
      </c>
      <c r="K126" s="74">
        <f t="shared" si="9"/>
        <v>778.38</v>
      </c>
      <c r="L126" s="74">
        <f t="shared" si="9"/>
        <v>778.38</v>
      </c>
      <c r="M126" s="74">
        <f t="shared" si="9"/>
        <v>778.38</v>
      </c>
      <c r="N126" s="74">
        <f t="shared" si="9"/>
        <v>778.38</v>
      </c>
      <c r="O126" s="74">
        <f t="shared" si="9"/>
        <v>778.38</v>
      </c>
      <c r="P126" s="74">
        <f t="shared" si="9"/>
        <v>778.38</v>
      </c>
      <c r="Q126" s="74">
        <f t="shared" si="9"/>
        <v>778.38</v>
      </c>
      <c r="R126" s="74">
        <f t="shared" si="9"/>
        <v>778.38</v>
      </c>
      <c r="S126" s="74">
        <f t="shared" si="9"/>
        <v>778.38</v>
      </c>
      <c r="T126" s="16">
        <f>SUM(H126:S126)</f>
        <v>9340.56</v>
      </c>
      <c r="U126" s="87"/>
      <c r="V126" s="87"/>
    </row>
    <row r="127" spans="1:22" ht="15" customHeight="1">
      <c r="A127" s="24"/>
      <c r="B127" s="24"/>
      <c r="C127" s="24"/>
      <c r="D127" s="24"/>
      <c r="E127" s="24"/>
      <c r="F127" s="24"/>
      <c r="G127" s="24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6"/>
      <c r="U127" s="26"/>
      <c r="V127" s="27"/>
    </row>
    <row r="128" spans="1:22" s="21" customFormat="1" ht="15" customHeight="1">
      <c r="A128" s="83" t="s">
        <v>394</v>
      </c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5"/>
    </row>
    <row r="129" spans="1:22" ht="15" customHeight="1">
      <c r="A129" s="11" t="s">
        <v>143</v>
      </c>
      <c r="B129" s="11" t="s">
        <v>145</v>
      </c>
      <c r="C129" s="12" t="s">
        <v>179</v>
      </c>
      <c r="D129" s="13" t="s">
        <v>197</v>
      </c>
      <c r="E129" s="14">
        <v>43466</v>
      </c>
      <c r="F129" s="18" t="s">
        <v>34</v>
      </c>
      <c r="G129" s="14">
        <v>44926</v>
      </c>
      <c r="H129" s="15">
        <v>84</v>
      </c>
      <c r="I129" s="15">
        <v>84</v>
      </c>
      <c r="J129" s="15">
        <v>84</v>
      </c>
      <c r="K129" s="15">
        <v>84</v>
      </c>
      <c r="L129" s="15">
        <v>84</v>
      </c>
      <c r="M129" s="15">
        <v>84</v>
      </c>
      <c r="N129" s="15">
        <v>84</v>
      </c>
      <c r="O129" s="15">
        <v>84</v>
      </c>
      <c r="P129" s="15">
        <v>84</v>
      </c>
      <c r="Q129" s="15">
        <v>84</v>
      </c>
      <c r="R129" s="15">
        <v>84</v>
      </c>
      <c r="S129" s="15">
        <v>92</v>
      </c>
      <c r="T129" s="16">
        <f>SUM(H129:S129)</f>
        <v>1016</v>
      </c>
      <c r="U129" s="17" t="s">
        <v>307</v>
      </c>
      <c r="V129" s="13" t="s">
        <v>121</v>
      </c>
    </row>
    <row r="130" spans="1:22" ht="15" customHeight="1">
      <c r="A130" s="11" t="s">
        <v>143</v>
      </c>
      <c r="B130" s="11" t="s">
        <v>145</v>
      </c>
      <c r="C130" s="12" t="s">
        <v>331</v>
      </c>
      <c r="D130" s="13" t="s">
        <v>332</v>
      </c>
      <c r="E130" s="14">
        <v>43885</v>
      </c>
      <c r="F130" s="18" t="s">
        <v>9</v>
      </c>
      <c r="G130" s="14">
        <v>44981</v>
      </c>
      <c r="H130" s="15">
        <v>22358.69</v>
      </c>
      <c r="I130" s="15">
        <v>22358.69</v>
      </c>
      <c r="J130" s="15">
        <v>22358.69</v>
      </c>
      <c r="K130" s="15">
        <v>22358.69</v>
      </c>
      <c r="L130" s="15">
        <v>22358.69</v>
      </c>
      <c r="M130" s="15">
        <v>22358.69</v>
      </c>
      <c r="N130" s="15">
        <v>22358.69</v>
      </c>
      <c r="O130" s="15">
        <v>22358.69</v>
      </c>
      <c r="P130" s="15">
        <v>22358.69</v>
      </c>
      <c r="Q130" s="15">
        <v>24594.55</v>
      </c>
      <c r="R130" s="15">
        <v>24594.55</v>
      </c>
      <c r="S130" s="15">
        <v>24594.55</v>
      </c>
      <c r="T130" s="16">
        <f>SUM(H130:S130)</f>
        <v>275011.86</v>
      </c>
      <c r="U130" s="17" t="s">
        <v>308</v>
      </c>
      <c r="V130" s="13" t="s">
        <v>121</v>
      </c>
    </row>
    <row r="131" spans="1:22" ht="15" customHeight="1">
      <c r="A131" s="81" t="s">
        <v>0</v>
      </c>
      <c r="B131" s="81"/>
      <c r="C131" s="81"/>
      <c r="D131" s="81"/>
      <c r="E131" s="81"/>
      <c r="F131" s="81"/>
      <c r="G131" s="81"/>
      <c r="H131" s="74">
        <f aca="true" t="shared" si="10" ref="H131:S131">SUM(H129:H130)</f>
        <v>22442.69</v>
      </c>
      <c r="I131" s="74">
        <f t="shared" si="10"/>
        <v>22442.69</v>
      </c>
      <c r="J131" s="74">
        <f t="shared" si="10"/>
        <v>22442.69</v>
      </c>
      <c r="K131" s="74">
        <f t="shared" si="10"/>
        <v>22442.69</v>
      </c>
      <c r="L131" s="74">
        <f t="shared" si="10"/>
        <v>22442.69</v>
      </c>
      <c r="M131" s="74">
        <f t="shared" si="10"/>
        <v>22442.69</v>
      </c>
      <c r="N131" s="74">
        <f t="shared" si="10"/>
        <v>22442.69</v>
      </c>
      <c r="O131" s="74">
        <f t="shared" si="10"/>
        <v>22442.69</v>
      </c>
      <c r="P131" s="74">
        <f t="shared" si="10"/>
        <v>22442.69</v>
      </c>
      <c r="Q131" s="74">
        <f t="shared" si="10"/>
        <v>24678.55</v>
      </c>
      <c r="R131" s="74">
        <f t="shared" si="10"/>
        <v>24678.55</v>
      </c>
      <c r="S131" s="74">
        <f t="shared" si="10"/>
        <v>24686.55</v>
      </c>
      <c r="T131" s="16">
        <f>SUM(H131:S131)</f>
        <v>276027.86</v>
      </c>
      <c r="U131" s="87"/>
      <c r="V131" s="87"/>
    </row>
    <row r="132" spans="1:22" ht="15" customHeight="1">
      <c r="A132" s="24"/>
      <c r="B132" s="24"/>
      <c r="C132" s="24"/>
      <c r="D132" s="24"/>
      <c r="E132" s="24"/>
      <c r="F132" s="24"/>
      <c r="G132" s="24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6"/>
      <c r="U132" s="26"/>
      <c r="V132" s="28"/>
    </row>
    <row r="133" spans="1:22" s="21" customFormat="1" ht="15" customHeight="1">
      <c r="A133" s="83" t="s">
        <v>429</v>
      </c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5"/>
    </row>
    <row r="134" spans="1:22" ht="15" customHeight="1">
      <c r="A134" s="11" t="s">
        <v>143</v>
      </c>
      <c r="B134" s="11" t="s">
        <v>145</v>
      </c>
      <c r="C134" s="12" t="s">
        <v>436</v>
      </c>
      <c r="D134" s="13" t="s">
        <v>437</v>
      </c>
      <c r="E134" s="14">
        <v>44228</v>
      </c>
      <c r="F134" s="71" t="s">
        <v>429</v>
      </c>
      <c r="G134" s="14">
        <v>45107</v>
      </c>
      <c r="H134" s="15">
        <v>0</v>
      </c>
      <c r="I134" s="15">
        <v>0</v>
      </c>
      <c r="J134" s="15">
        <v>0</v>
      </c>
      <c r="K134" s="15">
        <v>0</v>
      </c>
      <c r="L134" s="15">
        <v>2561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6">
        <f>SUM(H134:S134)</f>
        <v>2561</v>
      </c>
      <c r="U134" s="17" t="s">
        <v>314</v>
      </c>
      <c r="V134" s="13" t="s">
        <v>121</v>
      </c>
    </row>
    <row r="135" spans="1:22" ht="15" customHeight="1">
      <c r="A135" s="81" t="s">
        <v>0</v>
      </c>
      <c r="B135" s="81"/>
      <c r="C135" s="81"/>
      <c r="D135" s="81"/>
      <c r="E135" s="81"/>
      <c r="F135" s="81"/>
      <c r="G135" s="81"/>
      <c r="H135" s="74">
        <f>SUM(H134)</f>
        <v>0</v>
      </c>
      <c r="I135" s="74">
        <f aca="true" t="shared" si="11" ref="I135:S135">SUM(I134)</f>
        <v>0</v>
      </c>
      <c r="J135" s="74">
        <f t="shared" si="11"/>
        <v>0</v>
      </c>
      <c r="K135" s="74">
        <f t="shared" si="11"/>
        <v>0</v>
      </c>
      <c r="L135" s="74">
        <f t="shared" si="11"/>
        <v>2561</v>
      </c>
      <c r="M135" s="74">
        <f t="shared" si="11"/>
        <v>0</v>
      </c>
      <c r="N135" s="74">
        <f t="shared" si="11"/>
        <v>0</v>
      </c>
      <c r="O135" s="74">
        <f t="shared" si="11"/>
        <v>0</v>
      </c>
      <c r="P135" s="74">
        <f t="shared" si="11"/>
        <v>0</v>
      </c>
      <c r="Q135" s="74">
        <f t="shared" si="11"/>
        <v>0</v>
      </c>
      <c r="R135" s="74">
        <f t="shared" si="11"/>
        <v>0</v>
      </c>
      <c r="S135" s="74">
        <f t="shared" si="11"/>
        <v>0</v>
      </c>
      <c r="T135" s="16">
        <f>SUM(H135:S135)</f>
        <v>2561</v>
      </c>
      <c r="U135" s="87"/>
      <c r="V135" s="87"/>
    </row>
    <row r="136" spans="1:22" ht="15" customHeight="1">
      <c r="A136" s="24"/>
      <c r="B136" s="24"/>
      <c r="C136" s="24"/>
      <c r="D136" s="24"/>
      <c r="E136" s="24"/>
      <c r="F136" s="24"/>
      <c r="G136" s="24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6"/>
      <c r="U136" s="26"/>
      <c r="V136" s="27"/>
    </row>
    <row r="137" spans="1:22" s="21" customFormat="1" ht="15.75" customHeight="1">
      <c r="A137" s="83" t="s">
        <v>395</v>
      </c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5"/>
    </row>
    <row r="138" spans="1:22" ht="15" customHeight="1">
      <c r="A138" s="11" t="s">
        <v>143</v>
      </c>
      <c r="B138" s="11" t="s">
        <v>145</v>
      </c>
      <c r="C138" s="12" t="s">
        <v>263</v>
      </c>
      <c r="D138" s="13" t="s">
        <v>264</v>
      </c>
      <c r="E138" s="14">
        <v>43556</v>
      </c>
      <c r="F138" s="18" t="s">
        <v>265</v>
      </c>
      <c r="G138" s="14">
        <v>45017</v>
      </c>
      <c r="H138" s="15">
        <v>170</v>
      </c>
      <c r="I138" s="15">
        <v>170</v>
      </c>
      <c r="J138" s="15">
        <v>170</v>
      </c>
      <c r="K138" s="15">
        <v>480</v>
      </c>
      <c r="L138" s="15">
        <v>480</v>
      </c>
      <c r="M138" s="15">
        <v>480</v>
      </c>
      <c r="N138" s="15">
        <v>480</v>
      </c>
      <c r="O138" s="15">
        <v>480</v>
      </c>
      <c r="P138" s="15">
        <v>480</v>
      </c>
      <c r="Q138" s="15">
        <v>480</v>
      </c>
      <c r="R138" s="15">
        <v>480</v>
      </c>
      <c r="S138" s="15">
        <v>480</v>
      </c>
      <c r="T138" s="16">
        <f>SUM(H138:S138)</f>
        <v>4830</v>
      </c>
      <c r="U138" s="17" t="s">
        <v>307</v>
      </c>
      <c r="V138" s="13" t="s">
        <v>121</v>
      </c>
    </row>
    <row r="139" spans="1:22" ht="15" customHeight="1">
      <c r="A139" s="11" t="s">
        <v>143</v>
      </c>
      <c r="B139" s="22" t="s">
        <v>366</v>
      </c>
      <c r="C139" s="12" t="s">
        <v>367</v>
      </c>
      <c r="D139" s="13" t="s">
        <v>402</v>
      </c>
      <c r="E139" s="14">
        <v>44013</v>
      </c>
      <c r="F139" s="18" t="s">
        <v>403</v>
      </c>
      <c r="G139" s="14">
        <v>45108</v>
      </c>
      <c r="H139" s="15">
        <v>414</v>
      </c>
      <c r="I139" s="15">
        <v>420</v>
      </c>
      <c r="J139" s="15">
        <v>420</v>
      </c>
      <c r="K139" s="15">
        <v>468</v>
      </c>
      <c r="L139" s="15">
        <v>468</v>
      </c>
      <c r="M139" s="15">
        <v>450</v>
      </c>
      <c r="N139" s="15">
        <v>432</v>
      </c>
      <c r="O139" s="15">
        <v>432</v>
      </c>
      <c r="P139" s="15">
        <v>408</v>
      </c>
      <c r="Q139" s="15">
        <v>432</v>
      </c>
      <c r="R139" s="15">
        <v>432</v>
      </c>
      <c r="S139" s="15">
        <v>456</v>
      </c>
      <c r="T139" s="16">
        <f>SUM(H139:S139)</f>
        <v>5232</v>
      </c>
      <c r="U139" s="17" t="s">
        <v>314</v>
      </c>
      <c r="V139" s="13" t="s">
        <v>121</v>
      </c>
    </row>
    <row r="140" spans="1:22" ht="15" customHeight="1">
      <c r="A140" s="11" t="s">
        <v>143</v>
      </c>
      <c r="B140" s="22" t="s">
        <v>301</v>
      </c>
      <c r="C140" s="12" t="s">
        <v>200</v>
      </c>
      <c r="D140" s="13" t="s">
        <v>302</v>
      </c>
      <c r="E140" s="14">
        <v>43435</v>
      </c>
      <c r="F140" s="18" t="s">
        <v>201</v>
      </c>
      <c r="G140" s="14">
        <v>44926</v>
      </c>
      <c r="H140" s="15">
        <f>97.39+194.78+875.5+97.39</f>
        <v>1265.0600000000002</v>
      </c>
      <c r="I140" s="15">
        <v>97.39</v>
      </c>
      <c r="J140" s="15">
        <f>97.39+97.39+875.5</f>
        <v>1070.28</v>
      </c>
      <c r="K140" s="15">
        <f>972.89+97.39+97.39</f>
        <v>1167.67</v>
      </c>
      <c r="L140" s="15">
        <f>875.5+97.39+97.39</f>
        <v>1070.28</v>
      </c>
      <c r="M140" s="15">
        <v>1265.06</v>
      </c>
      <c r="N140" s="15">
        <f>97.39+194.78+875.5</f>
        <v>1167.67</v>
      </c>
      <c r="O140" s="15">
        <v>1167.67</v>
      </c>
      <c r="P140" s="15">
        <f>1673.06-408</f>
        <v>1265.06</v>
      </c>
      <c r="Q140" s="15">
        <f>97.39*6+875.5</f>
        <v>1459.8400000000001</v>
      </c>
      <c r="R140" s="15">
        <v>194.78</v>
      </c>
      <c r="S140" s="15">
        <v>875.5</v>
      </c>
      <c r="T140" s="16">
        <f>SUM(H140:S140)</f>
        <v>12066.26</v>
      </c>
      <c r="U140" s="17" t="s">
        <v>314</v>
      </c>
      <c r="V140" s="13" t="s">
        <v>121</v>
      </c>
    </row>
    <row r="141" spans="1:22" ht="15" customHeight="1">
      <c r="A141" s="81" t="s">
        <v>0</v>
      </c>
      <c r="B141" s="81"/>
      <c r="C141" s="81"/>
      <c r="D141" s="81"/>
      <c r="E141" s="81"/>
      <c r="F141" s="81"/>
      <c r="G141" s="81"/>
      <c r="H141" s="74">
        <f aca="true" t="shared" si="12" ref="H141:S141">SUM(H138:H140)</f>
        <v>1849.0600000000002</v>
      </c>
      <c r="I141" s="74">
        <f t="shared" si="12"/>
        <v>687.39</v>
      </c>
      <c r="J141" s="74">
        <f t="shared" si="12"/>
        <v>1660.28</v>
      </c>
      <c r="K141" s="74">
        <f t="shared" si="12"/>
        <v>2115.67</v>
      </c>
      <c r="L141" s="74">
        <f t="shared" si="12"/>
        <v>2018.28</v>
      </c>
      <c r="M141" s="74">
        <f t="shared" si="12"/>
        <v>2195.06</v>
      </c>
      <c r="N141" s="74">
        <f t="shared" si="12"/>
        <v>2079.67</v>
      </c>
      <c r="O141" s="74">
        <f t="shared" si="12"/>
        <v>2079.67</v>
      </c>
      <c r="P141" s="74">
        <f t="shared" si="12"/>
        <v>2153.06</v>
      </c>
      <c r="Q141" s="74">
        <f t="shared" si="12"/>
        <v>2371.84</v>
      </c>
      <c r="R141" s="74">
        <f t="shared" si="12"/>
        <v>1106.78</v>
      </c>
      <c r="S141" s="74">
        <f t="shared" si="12"/>
        <v>1811.5</v>
      </c>
      <c r="T141" s="16">
        <f>SUM(H141:S141)</f>
        <v>22128.26</v>
      </c>
      <c r="U141" s="87"/>
      <c r="V141" s="87"/>
    </row>
    <row r="142" spans="1:22" ht="15" customHeight="1">
      <c r="A142" s="24"/>
      <c r="B142" s="24"/>
      <c r="C142" s="24"/>
      <c r="D142" s="24"/>
      <c r="E142" s="24"/>
      <c r="F142" s="24"/>
      <c r="G142" s="24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6"/>
      <c r="U142" s="26"/>
      <c r="V142" s="27"/>
    </row>
    <row r="143" spans="1:22" s="21" customFormat="1" ht="15" customHeight="1">
      <c r="A143" s="83" t="s">
        <v>396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5"/>
    </row>
    <row r="144" spans="1:22" ht="15" customHeight="1">
      <c r="A144" s="13" t="s">
        <v>143</v>
      </c>
      <c r="B144" s="13" t="s">
        <v>145</v>
      </c>
      <c r="C144" s="12" t="s">
        <v>132</v>
      </c>
      <c r="D144" s="13" t="s">
        <v>131</v>
      </c>
      <c r="E144" s="14">
        <v>43450</v>
      </c>
      <c r="F144" s="29" t="s">
        <v>36</v>
      </c>
      <c r="G144" s="14">
        <v>44910</v>
      </c>
      <c r="H144" s="15">
        <v>0</v>
      </c>
      <c r="I144" s="15">
        <v>1069.2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6">
        <f>SUM(H144:S144)</f>
        <v>1069.2</v>
      </c>
      <c r="U144" s="17" t="s">
        <v>309</v>
      </c>
      <c r="V144" s="13" t="s">
        <v>121</v>
      </c>
    </row>
    <row r="145" spans="1:22" ht="15" customHeight="1">
      <c r="A145" s="88" t="s">
        <v>0</v>
      </c>
      <c r="B145" s="89"/>
      <c r="C145" s="89"/>
      <c r="D145" s="89"/>
      <c r="E145" s="89"/>
      <c r="F145" s="89"/>
      <c r="G145" s="90"/>
      <c r="H145" s="74">
        <f>SUM(H144:H144)</f>
        <v>0</v>
      </c>
      <c r="I145" s="74">
        <f aca="true" t="shared" si="13" ref="I145:S145">SUM(I144:I144)</f>
        <v>1069.2</v>
      </c>
      <c r="J145" s="74">
        <f t="shared" si="13"/>
        <v>0</v>
      </c>
      <c r="K145" s="74">
        <f t="shared" si="13"/>
        <v>0</v>
      </c>
      <c r="L145" s="74">
        <f t="shared" si="13"/>
        <v>0</v>
      </c>
      <c r="M145" s="74">
        <f t="shared" si="13"/>
        <v>0</v>
      </c>
      <c r="N145" s="74">
        <f t="shared" si="13"/>
        <v>0</v>
      </c>
      <c r="O145" s="74">
        <f t="shared" si="13"/>
        <v>0</v>
      </c>
      <c r="P145" s="74">
        <f t="shared" si="13"/>
        <v>0</v>
      </c>
      <c r="Q145" s="74">
        <f t="shared" si="13"/>
        <v>0</v>
      </c>
      <c r="R145" s="74">
        <f t="shared" si="13"/>
        <v>0</v>
      </c>
      <c r="S145" s="74">
        <f t="shared" si="13"/>
        <v>0</v>
      </c>
      <c r="T145" s="16">
        <f>SUM(H145:S145)</f>
        <v>1069.2</v>
      </c>
      <c r="U145" s="87"/>
      <c r="V145" s="87"/>
    </row>
    <row r="146" spans="1:22" ht="15" customHeight="1">
      <c r="A146" s="30"/>
      <c r="B146" s="30"/>
      <c r="C146" s="31"/>
      <c r="D146" s="28"/>
      <c r="E146" s="28"/>
      <c r="F146" s="32"/>
      <c r="G146" s="28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6"/>
      <c r="U146" s="26"/>
      <c r="V146" s="27"/>
    </row>
    <row r="147" spans="1:22" s="21" customFormat="1" ht="15" customHeight="1">
      <c r="A147" s="83" t="s">
        <v>397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5"/>
    </row>
    <row r="148" spans="1:22" ht="15" customHeight="1">
      <c r="A148" s="11" t="s">
        <v>143</v>
      </c>
      <c r="B148" s="13" t="s">
        <v>145</v>
      </c>
      <c r="C148" s="12" t="s">
        <v>178</v>
      </c>
      <c r="D148" s="13" t="s">
        <v>205</v>
      </c>
      <c r="E148" s="14">
        <v>44358</v>
      </c>
      <c r="F148" s="12" t="s">
        <v>12</v>
      </c>
      <c r="G148" s="14">
        <v>45087</v>
      </c>
      <c r="H148" s="15">
        <v>7151.95</v>
      </c>
      <c r="I148" s="15">
        <v>7891.63</v>
      </c>
      <c r="J148" s="15">
        <v>8115.01</v>
      </c>
      <c r="K148" s="15">
        <v>8303.32</v>
      </c>
      <c r="L148" s="15">
        <v>9740.79</v>
      </c>
      <c r="M148" s="15">
        <v>8275.83</v>
      </c>
      <c r="N148" s="15">
        <v>9575.38</v>
      </c>
      <c r="O148" s="15">
        <v>10795.23</v>
      </c>
      <c r="P148" s="15">
        <v>9804.73</v>
      </c>
      <c r="Q148" s="15">
        <v>8777.77</v>
      </c>
      <c r="R148" s="15">
        <v>6816.88</v>
      </c>
      <c r="S148" s="15">
        <v>8177.56</v>
      </c>
      <c r="T148" s="16">
        <f>SUM(H148:S148)</f>
        <v>103426.08</v>
      </c>
      <c r="U148" s="17" t="s">
        <v>307</v>
      </c>
      <c r="V148" s="13" t="s">
        <v>121</v>
      </c>
    </row>
    <row r="149" spans="1:22" ht="15" customHeight="1">
      <c r="A149" s="11"/>
      <c r="B149" s="13"/>
      <c r="C149" s="12"/>
      <c r="D149" s="13"/>
      <c r="E149" s="14"/>
      <c r="F149" s="12"/>
      <c r="G149" s="14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6">
        <f>SUM(H149:S149)</f>
        <v>0</v>
      </c>
      <c r="U149" s="17" t="s">
        <v>307</v>
      </c>
      <c r="V149" s="13" t="s">
        <v>121</v>
      </c>
    </row>
    <row r="150" spans="1:22" ht="15" customHeight="1">
      <c r="A150" s="88" t="s">
        <v>0</v>
      </c>
      <c r="B150" s="89"/>
      <c r="C150" s="89"/>
      <c r="D150" s="89"/>
      <c r="E150" s="89"/>
      <c r="F150" s="89"/>
      <c r="G150" s="90"/>
      <c r="H150" s="74">
        <f>SUM(H148:H149)</f>
        <v>7151.95</v>
      </c>
      <c r="I150" s="74">
        <f aca="true" t="shared" si="14" ref="I150:S150">SUM(I148:I149)</f>
        <v>7891.63</v>
      </c>
      <c r="J150" s="74">
        <f t="shared" si="14"/>
        <v>8115.01</v>
      </c>
      <c r="K150" s="74">
        <f t="shared" si="14"/>
        <v>8303.32</v>
      </c>
      <c r="L150" s="74">
        <f t="shared" si="14"/>
        <v>9740.79</v>
      </c>
      <c r="M150" s="74">
        <f t="shared" si="14"/>
        <v>8275.83</v>
      </c>
      <c r="N150" s="74">
        <f t="shared" si="14"/>
        <v>9575.38</v>
      </c>
      <c r="O150" s="74">
        <f t="shared" si="14"/>
        <v>10795.23</v>
      </c>
      <c r="P150" s="74">
        <f t="shared" si="14"/>
        <v>9804.73</v>
      </c>
      <c r="Q150" s="74">
        <f t="shared" si="14"/>
        <v>8777.77</v>
      </c>
      <c r="R150" s="74">
        <f t="shared" si="14"/>
        <v>6816.88</v>
      </c>
      <c r="S150" s="74">
        <f t="shared" si="14"/>
        <v>8177.56</v>
      </c>
      <c r="T150" s="16">
        <f>SUM(H150:S150)</f>
        <v>103426.08</v>
      </c>
      <c r="U150" s="87"/>
      <c r="V150" s="87"/>
    </row>
    <row r="151" spans="1:22" ht="15" customHeight="1">
      <c r="A151" s="30"/>
      <c r="B151" s="30"/>
      <c r="C151" s="31"/>
      <c r="D151" s="28"/>
      <c r="E151" s="28"/>
      <c r="F151" s="32"/>
      <c r="G151" s="28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6"/>
      <c r="U151" s="26"/>
      <c r="V151" s="27"/>
    </row>
    <row r="152" spans="1:22" s="21" customFormat="1" ht="15" customHeight="1" hidden="1">
      <c r="A152" s="83" t="s">
        <v>398</v>
      </c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5"/>
    </row>
    <row r="153" spans="1:22" ht="15" customHeight="1" hidden="1">
      <c r="A153" s="11"/>
      <c r="B153" s="13"/>
      <c r="C153" s="12"/>
      <c r="D153" s="13"/>
      <c r="E153" s="14"/>
      <c r="F153" s="12"/>
      <c r="G153" s="14"/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6">
        <f>SUM(H153:S153)</f>
        <v>0</v>
      </c>
      <c r="U153" s="17" t="s">
        <v>307</v>
      </c>
      <c r="V153" s="13" t="s">
        <v>121</v>
      </c>
    </row>
    <row r="154" spans="1:22" ht="15" customHeight="1" hidden="1">
      <c r="A154" s="81" t="s">
        <v>0</v>
      </c>
      <c r="B154" s="81"/>
      <c r="C154" s="81"/>
      <c r="D154" s="81"/>
      <c r="E154" s="81"/>
      <c r="F154" s="81"/>
      <c r="G154" s="81"/>
      <c r="H154" s="74">
        <f>SUM(H153)</f>
        <v>0</v>
      </c>
      <c r="I154" s="74">
        <f aca="true" t="shared" si="15" ref="I154:S154">SUM(I153)</f>
        <v>0</v>
      </c>
      <c r="J154" s="74">
        <f t="shared" si="15"/>
        <v>0</v>
      </c>
      <c r="K154" s="74">
        <f t="shared" si="15"/>
        <v>0</v>
      </c>
      <c r="L154" s="74">
        <f t="shared" si="15"/>
        <v>0</v>
      </c>
      <c r="M154" s="74">
        <f t="shared" si="15"/>
        <v>0</v>
      </c>
      <c r="N154" s="74">
        <f t="shared" si="15"/>
        <v>0</v>
      </c>
      <c r="O154" s="74">
        <f t="shared" si="15"/>
        <v>0</v>
      </c>
      <c r="P154" s="74">
        <f t="shared" si="15"/>
        <v>0</v>
      </c>
      <c r="Q154" s="74">
        <f t="shared" si="15"/>
        <v>0</v>
      </c>
      <c r="R154" s="74">
        <f t="shared" si="15"/>
        <v>0</v>
      </c>
      <c r="S154" s="74">
        <f t="shared" si="15"/>
        <v>0</v>
      </c>
      <c r="T154" s="16">
        <f>SUM(H154:S154)</f>
        <v>0</v>
      </c>
      <c r="U154" s="87"/>
      <c r="V154" s="87"/>
    </row>
    <row r="155" spans="1:22" ht="15" customHeight="1" hidden="1">
      <c r="A155" s="75"/>
      <c r="B155" s="75"/>
      <c r="C155" s="75"/>
      <c r="D155" s="75"/>
      <c r="E155" s="75"/>
      <c r="F155" s="75"/>
      <c r="G155" s="7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6"/>
      <c r="U155" s="56"/>
      <c r="V155" s="57"/>
    </row>
    <row r="156" spans="1:22" s="21" customFormat="1" ht="15" customHeight="1">
      <c r="A156" s="83" t="s">
        <v>399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5"/>
    </row>
    <row r="157" spans="1:23" ht="24" customHeight="1">
      <c r="A157" s="11" t="s">
        <v>143</v>
      </c>
      <c r="B157" s="11" t="s">
        <v>145</v>
      </c>
      <c r="C157" s="12" t="s">
        <v>476</v>
      </c>
      <c r="D157" s="13" t="s">
        <v>477</v>
      </c>
      <c r="E157" s="14">
        <v>44636</v>
      </c>
      <c r="F157" s="12" t="s">
        <v>478</v>
      </c>
      <c r="G157" s="14">
        <v>45000</v>
      </c>
      <c r="H157" s="15">
        <v>0</v>
      </c>
      <c r="I157" s="15">
        <v>0</v>
      </c>
      <c r="J157" s="15">
        <v>4134.9</v>
      </c>
      <c r="K157" s="15">
        <v>9009</v>
      </c>
      <c r="L157" s="15">
        <v>8959.5</v>
      </c>
      <c r="M157" s="15">
        <v>9009</v>
      </c>
      <c r="N157" s="15">
        <v>8910</v>
      </c>
      <c r="O157" s="15">
        <v>8910</v>
      </c>
      <c r="P157" s="15">
        <v>8811</v>
      </c>
      <c r="Q157" s="15">
        <v>8860.5</v>
      </c>
      <c r="R157" s="15">
        <v>8860.5</v>
      </c>
      <c r="S157" s="15">
        <v>8811</v>
      </c>
      <c r="T157" s="16">
        <f aca="true" t="shared" si="16" ref="T157:T162">SUM(H157:S157)</f>
        <v>84275.4</v>
      </c>
      <c r="U157" s="17" t="s">
        <v>307</v>
      </c>
      <c r="V157" s="13" t="s">
        <v>121</v>
      </c>
      <c r="W157" s="63"/>
    </row>
    <row r="158" spans="1:22" ht="15" customHeight="1">
      <c r="A158" s="11" t="s">
        <v>143</v>
      </c>
      <c r="B158" s="11" t="s">
        <v>145</v>
      </c>
      <c r="C158" s="12" t="s">
        <v>202</v>
      </c>
      <c r="D158" s="13" t="s">
        <v>203</v>
      </c>
      <c r="E158" s="14">
        <v>43435</v>
      </c>
      <c r="F158" s="33" t="s">
        <v>204</v>
      </c>
      <c r="G158" s="14">
        <v>44895</v>
      </c>
      <c r="H158" s="15">
        <v>1500</v>
      </c>
      <c r="I158" s="15">
        <v>1500</v>
      </c>
      <c r="J158" s="15">
        <v>1500</v>
      </c>
      <c r="K158" s="15">
        <v>1500</v>
      </c>
      <c r="L158" s="15">
        <v>1500</v>
      </c>
      <c r="M158" s="15">
        <v>1500</v>
      </c>
      <c r="N158" s="15">
        <v>1500</v>
      </c>
      <c r="O158" s="15">
        <v>1500</v>
      </c>
      <c r="P158" s="15">
        <v>1500</v>
      </c>
      <c r="Q158" s="15">
        <v>1500</v>
      </c>
      <c r="R158" s="15">
        <v>1500</v>
      </c>
      <c r="S158" s="15">
        <v>1500</v>
      </c>
      <c r="T158" s="16">
        <f t="shared" si="16"/>
        <v>18000</v>
      </c>
      <c r="U158" s="17" t="s">
        <v>310</v>
      </c>
      <c r="V158" s="13" t="s">
        <v>121</v>
      </c>
    </row>
    <row r="159" spans="1:22" ht="15" customHeight="1">
      <c r="A159" s="11" t="s">
        <v>143</v>
      </c>
      <c r="B159" s="11" t="s">
        <v>145</v>
      </c>
      <c r="C159" s="12" t="s">
        <v>374</v>
      </c>
      <c r="D159" s="13" t="s">
        <v>375</v>
      </c>
      <c r="E159" s="14">
        <v>44075</v>
      </c>
      <c r="F159" s="33" t="s">
        <v>376</v>
      </c>
      <c r="G159" s="14">
        <v>45169</v>
      </c>
      <c r="H159" s="15">
        <v>10979.96</v>
      </c>
      <c r="I159" s="15">
        <v>10979.96</v>
      </c>
      <c r="J159" s="15">
        <v>10979.96</v>
      </c>
      <c r="K159" s="15">
        <v>10979.96</v>
      </c>
      <c r="L159" s="15">
        <v>10979.96</v>
      </c>
      <c r="M159" s="15">
        <v>10979.96</v>
      </c>
      <c r="N159" s="15">
        <v>10979.96</v>
      </c>
      <c r="O159" s="15">
        <v>10979.96</v>
      </c>
      <c r="P159" s="15">
        <v>12041.72</v>
      </c>
      <c r="Q159" s="15">
        <v>12041.72</v>
      </c>
      <c r="R159" s="15">
        <v>12041.72</v>
      </c>
      <c r="S159" s="15">
        <v>12041.72</v>
      </c>
      <c r="T159" s="16">
        <f t="shared" si="16"/>
        <v>136006.56</v>
      </c>
      <c r="U159" s="17" t="s">
        <v>310</v>
      </c>
      <c r="V159" s="13" t="s">
        <v>121</v>
      </c>
    </row>
    <row r="160" spans="1:22" ht="15" customHeight="1">
      <c r="A160" s="11" t="s">
        <v>336</v>
      </c>
      <c r="B160" s="11" t="s">
        <v>145</v>
      </c>
      <c r="C160" s="12" t="s">
        <v>440</v>
      </c>
      <c r="D160" s="13" t="s">
        <v>439</v>
      </c>
      <c r="E160" s="14">
        <v>44698</v>
      </c>
      <c r="F160" s="33" t="s">
        <v>487</v>
      </c>
      <c r="G160" s="14">
        <v>44712</v>
      </c>
      <c r="H160" s="15">
        <v>0</v>
      </c>
      <c r="I160" s="15">
        <v>0</v>
      </c>
      <c r="J160" s="15">
        <v>0</v>
      </c>
      <c r="K160" s="15">
        <v>0</v>
      </c>
      <c r="L160" s="15"/>
      <c r="M160" s="15">
        <v>954.55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6">
        <f t="shared" si="16"/>
        <v>954.55</v>
      </c>
      <c r="U160" s="17" t="s">
        <v>453</v>
      </c>
      <c r="V160" s="13" t="s">
        <v>121</v>
      </c>
    </row>
    <row r="161" spans="1:22" ht="15" customHeight="1">
      <c r="A161" s="11" t="s">
        <v>143</v>
      </c>
      <c r="B161" s="11" t="s">
        <v>145</v>
      </c>
      <c r="C161" s="12" t="s">
        <v>359</v>
      </c>
      <c r="D161" s="13" t="s">
        <v>360</v>
      </c>
      <c r="E161" s="14">
        <v>43983</v>
      </c>
      <c r="F161" s="33" t="s">
        <v>404</v>
      </c>
      <c r="G161" s="14">
        <v>45077</v>
      </c>
      <c r="H161" s="15">
        <v>1850</v>
      </c>
      <c r="I161" s="15">
        <v>1850</v>
      </c>
      <c r="J161" s="15">
        <v>1850</v>
      </c>
      <c r="K161" s="15">
        <v>1850</v>
      </c>
      <c r="L161" s="15">
        <v>1850</v>
      </c>
      <c r="M161" s="15">
        <v>1850</v>
      </c>
      <c r="N161" s="15">
        <v>1850</v>
      </c>
      <c r="O161" s="15">
        <v>1850</v>
      </c>
      <c r="P161" s="15">
        <v>1850</v>
      </c>
      <c r="Q161" s="15">
        <v>1850</v>
      </c>
      <c r="R161" s="15">
        <v>1850</v>
      </c>
      <c r="S161" s="15">
        <v>1850</v>
      </c>
      <c r="T161" s="16">
        <f t="shared" si="16"/>
        <v>22200</v>
      </c>
      <c r="U161" s="17" t="s">
        <v>361</v>
      </c>
      <c r="V161" s="13" t="s">
        <v>121</v>
      </c>
    </row>
    <row r="162" spans="1:22" ht="15" customHeight="1">
      <c r="A162" s="81" t="s">
        <v>0</v>
      </c>
      <c r="B162" s="81"/>
      <c r="C162" s="81"/>
      <c r="D162" s="81"/>
      <c r="E162" s="81"/>
      <c r="F162" s="81"/>
      <c r="G162" s="81"/>
      <c r="H162" s="74">
        <f aca="true" t="shared" si="17" ref="H162:S162">SUM(H157:H161)</f>
        <v>14329.96</v>
      </c>
      <c r="I162" s="74">
        <f t="shared" si="17"/>
        <v>14329.96</v>
      </c>
      <c r="J162" s="74">
        <f t="shared" si="17"/>
        <v>18464.86</v>
      </c>
      <c r="K162" s="74">
        <f t="shared" si="17"/>
        <v>23338.96</v>
      </c>
      <c r="L162" s="74">
        <f t="shared" si="17"/>
        <v>23289.46</v>
      </c>
      <c r="M162" s="74">
        <f t="shared" si="17"/>
        <v>24293.51</v>
      </c>
      <c r="N162" s="74">
        <f t="shared" si="17"/>
        <v>23239.96</v>
      </c>
      <c r="O162" s="74">
        <f t="shared" si="17"/>
        <v>23239.96</v>
      </c>
      <c r="P162" s="74">
        <f t="shared" si="17"/>
        <v>24202.72</v>
      </c>
      <c r="Q162" s="74">
        <f t="shared" si="17"/>
        <v>24252.22</v>
      </c>
      <c r="R162" s="74">
        <f t="shared" si="17"/>
        <v>24252.22</v>
      </c>
      <c r="S162" s="74">
        <f t="shared" si="17"/>
        <v>24202.72</v>
      </c>
      <c r="T162" s="16">
        <f t="shared" si="16"/>
        <v>261436.50999999998</v>
      </c>
      <c r="U162" s="87"/>
      <c r="V162" s="87"/>
    </row>
    <row r="163" spans="1:22" ht="15" customHeight="1">
      <c r="A163" s="34"/>
      <c r="B163" s="30"/>
      <c r="C163" s="31"/>
      <c r="D163" s="28"/>
      <c r="E163" s="28"/>
      <c r="F163" s="32"/>
      <c r="G163" s="28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6"/>
      <c r="U163" s="26"/>
      <c r="V163" s="28"/>
    </row>
    <row r="164" spans="1:22" s="21" customFormat="1" ht="15" customHeight="1">
      <c r="A164" s="83" t="s">
        <v>454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5"/>
    </row>
    <row r="165" spans="1:22" ht="15" customHeight="1">
      <c r="A165" s="11" t="s">
        <v>143</v>
      </c>
      <c r="B165" s="11" t="s">
        <v>145</v>
      </c>
      <c r="C165" s="12" t="s">
        <v>457</v>
      </c>
      <c r="D165" s="13" t="s">
        <v>455</v>
      </c>
      <c r="E165" s="14">
        <v>44501</v>
      </c>
      <c r="F165" s="12" t="s">
        <v>456</v>
      </c>
      <c r="G165" s="14">
        <v>45231</v>
      </c>
      <c r="H165" s="15">
        <v>9412.9</v>
      </c>
      <c r="I165" s="15">
        <v>9412.9</v>
      </c>
      <c r="J165" s="15">
        <v>9412.9</v>
      </c>
      <c r="K165" s="15">
        <v>9496.2</v>
      </c>
      <c r="L165" s="15">
        <v>9496.2</v>
      </c>
      <c r="M165" s="15">
        <v>9579.5</v>
      </c>
      <c r="N165" s="15">
        <v>9579.5</v>
      </c>
      <c r="O165" s="15">
        <v>9412.9</v>
      </c>
      <c r="P165" s="15">
        <v>9412.9</v>
      </c>
      <c r="Q165" s="15">
        <v>9412.9</v>
      </c>
      <c r="R165" s="15">
        <v>0</v>
      </c>
      <c r="S165" s="15">
        <v>18742.5</v>
      </c>
      <c r="T165" s="16">
        <f>SUM(H165:S165)</f>
        <v>113371.29999999997</v>
      </c>
      <c r="U165" s="17" t="s">
        <v>312</v>
      </c>
      <c r="V165" s="13" t="s">
        <v>121</v>
      </c>
    </row>
    <row r="166" spans="1:22" ht="15" customHeight="1">
      <c r="A166" s="11"/>
      <c r="B166" s="11"/>
      <c r="C166" s="12"/>
      <c r="D166" s="13"/>
      <c r="E166" s="14"/>
      <c r="F166" s="18"/>
      <c r="G166" s="14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6">
        <f>SUM(H166:S166)</f>
        <v>0</v>
      </c>
      <c r="U166" s="17"/>
      <c r="V166" s="13"/>
    </row>
    <row r="167" spans="1:22" ht="15" customHeight="1">
      <c r="A167" s="81" t="s">
        <v>0</v>
      </c>
      <c r="B167" s="81"/>
      <c r="C167" s="81"/>
      <c r="D167" s="81"/>
      <c r="E167" s="81"/>
      <c r="F167" s="81"/>
      <c r="G167" s="81"/>
      <c r="H167" s="74">
        <f aca="true" t="shared" si="18" ref="H167:S167">SUM(H165:H166)</f>
        <v>9412.9</v>
      </c>
      <c r="I167" s="74">
        <f t="shared" si="18"/>
        <v>9412.9</v>
      </c>
      <c r="J167" s="74">
        <f t="shared" si="18"/>
        <v>9412.9</v>
      </c>
      <c r="K167" s="74">
        <f t="shared" si="18"/>
        <v>9496.2</v>
      </c>
      <c r="L167" s="74">
        <f t="shared" si="18"/>
        <v>9496.2</v>
      </c>
      <c r="M167" s="74">
        <f t="shared" si="18"/>
        <v>9579.5</v>
      </c>
      <c r="N167" s="74">
        <f t="shared" si="18"/>
        <v>9579.5</v>
      </c>
      <c r="O167" s="74">
        <f t="shared" si="18"/>
        <v>9412.9</v>
      </c>
      <c r="P167" s="74">
        <f t="shared" si="18"/>
        <v>9412.9</v>
      </c>
      <c r="Q167" s="74">
        <f t="shared" si="18"/>
        <v>9412.9</v>
      </c>
      <c r="R167" s="74">
        <f t="shared" si="18"/>
        <v>0</v>
      </c>
      <c r="S167" s="74">
        <f t="shared" si="18"/>
        <v>18742.5</v>
      </c>
      <c r="T167" s="74">
        <f>SUM(T165:T166)</f>
        <v>113371.29999999997</v>
      </c>
      <c r="U167" s="87"/>
      <c r="V167" s="87"/>
    </row>
    <row r="168" spans="1:22" s="21" customFormat="1" ht="15" customHeight="1">
      <c r="A168" s="35"/>
      <c r="B168" s="35"/>
      <c r="C168" s="36"/>
      <c r="D168" s="10"/>
      <c r="E168" s="10"/>
      <c r="F168" s="37"/>
      <c r="G168" s="10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0"/>
    </row>
    <row r="169" spans="1:22" s="21" customFormat="1" ht="15" customHeight="1">
      <c r="A169" s="83" t="s">
        <v>28</v>
      </c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5"/>
    </row>
    <row r="170" spans="1:22" ht="15" customHeight="1">
      <c r="A170" s="11" t="s">
        <v>143</v>
      </c>
      <c r="B170" s="11" t="s">
        <v>145</v>
      </c>
      <c r="C170" s="12" t="s">
        <v>291</v>
      </c>
      <c r="D170" s="13" t="s">
        <v>304</v>
      </c>
      <c r="E170" s="14">
        <v>43739</v>
      </c>
      <c r="F170" s="18" t="s">
        <v>15</v>
      </c>
      <c r="G170" s="14">
        <v>45260</v>
      </c>
      <c r="H170" s="15">
        <v>2865.61</v>
      </c>
      <c r="I170" s="15">
        <v>3017.4</v>
      </c>
      <c r="J170" s="15">
        <v>2977.36</v>
      </c>
      <c r="K170" s="15">
        <v>3330.13</v>
      </c>
      <c r="L170" s="15">
        <v>4490.25</v>
      </c>
      <c r="M170" s="15">
        <v>2916.52</v>
      </c>
      <c r="N170" s="15">
        <v>3622.37</v>
      </c>
      <c r="O170" s="15">
        <v>3887.45</v>
      </c>
      <c r="P170" s="15">
        <v>3210.93</v>
      </c>
      <c r="Q170" s="15">
        <v>2830.23</v>
      </c>
      <c r="R170" s="15">
        <v>2798.57</v>
      </c>
      <c r="S170" s="15">
        <v>3041.76</v>
      </c>
      <c r="T170" s="16">
        <f>SUM(H170:S170)</f>
        <v>38988.58</v>
      </c>
      <c r="U170" s="17" t="s">
        <v>316</v>
      </c>
      <c r="V170" s="13" t="s">
        <v>121</v>
      </c>
    </row>
    <row r="171" spans="1:22" s="3" customFormat="1" ht="15" customHeight="1">
      <c r="A171" s="81" t="s">
        <v>0</v>
      </c>
      <c r="B171" s="81"/>
      <c r="C171" s="81"/>
      <c r="D171" s="81"/>
      <c r="E171" s="81"/>
      <c r="F171" s="81"/>
      <c r="G171" s="81"/>
      <c r="H171" s="74">
        <f aca="true" t="shared" si="19" ref="H171:S171">SUM(H170:H170)</f>
        <v>2865.61</v>
      </c>
      <c r="I171" s="74">
        <f t="shared" si="19"/>
        <v>3017.4</v>
      </c>
      <c r="J171" s="74">
        <f t="shared" si="19"/>
        <v>2977.36</v>
      </c>
      <c r="K171" s="74">
        <f t="shared" si="19"/>
        <v>3330.13</v>
      </c>
      <c r="L171" s="74">
        <f t="shared" si="19"/>
        <v>4490.25</v>
      </c>
      <c r="M171" s="74">
        <f t="shared" si="19"/>
        <v>2916.52</v>
      </c>
      <c r="N171" s="74">
        <f t="shared" si="19"/>
        <v>3622.37</v>
      </c>
      <c r="O171" s="74">
        <f t="shared" si="19"/>
        <v>3887.45</v>
      </c>
      <c r="P171" s="74">
        <f t="shared" si="19"/>
        <v>3210.93</v>
      </c>
      <c r="Q171" s="74">
        <f t="shared" si="19"/>
        <v>2830.23</v>
      </c>
      <c r="R171" s="74">
        <f t="shared" si="19"/>
        <v>2798.57</v>
      </c>
      <c r="S171" s="74">
        <f t="shared" si="19"/>
        <v>3041.76</v>
      </c>
      <c r="T171" s="16">
        <f>SUM(H171:S171)</f>
        <v>38988.58</v>
      </c>
      <c r="U171" s="87"/>
      <c r="V171" s="87"/>
    </row>
    <row r="172" spans="1:22" ht="15" customHeight="1">
      <c r="A172" s="30"/>
      <c r="B172" s="30"/>
      <c r="C172" s="31"/>
      <c r="D172" s="28"/>
      <c r="E172" s="28"/>
      <c r="F172" s="32"/>
      <c r="G172" s="28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6"/>
      <c r="U172" s="26"/>
      <c r="V172" s="28"/>
    </row>
    <row r="173" spans="1:22" s="21" customFormat="1" ht="15" customHeight="1">
      <c r="A173" s="83" t="s">
        <v>400</v>
      </c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5"/>
    </row>
    <row r="174" spans="1:22" ht="15" customHeight="1">
      <c r="A174" s="11" t="s">
        <v>143</v>
      </c>
      <c r="B174" s="11" t="s">
        <v>145</v>
      </c>
      <c r="C174" s="12" t="s">
        <v>362</v>
      </c>
      <c r="D174" s="13" t="s">
        <v>363</v>
      </c>
      <c r="E174" s="14">
        <v>43944</v>
      </c>
      <c r="F174" s="18" t="s">
        <v>14</v>
      </c>
      <c r="G174" s="14">
        <v>45040</v>
      </c>
      <c r="H174" s="15">
        <v>4433.28</v>
      </c>
      <c r="I174" s="15">
        <v>5369.28</v>
      </c>
      <c r="J174" s="15">
        <v>5958.48</v>
      </c>
      <c r="K174" s="15">
        <v>5656.38</v>
      </c>
      <c r="L174" s="15">
        <v>6262.34</v>
      </c>
      <c r="M174" s="15">
        <v>6013.86</v>
      </c>
      <c r="N174" s="15">
        <v>5858.5</v>
      </c>
      <c r="O174" s="15">
        <v>7336.34</v>
      </c>
      <c r="P174" s="15">
        <v>7336.34</v>
      </c>
      <c r="Q174" s="15">
        <v>6589.3</v>
      </c>
      <c r="R174" s="15">
        <v>5478.76</v>
      </c>
      <c r="S174" s="15">
        <v>5215.94</v>
      </c>
      <c r="T174" s="16">
        <f>SUM(H174:S174)</f>
        <v>71508.79999999999</v>
      </c>
      <c r="U174" s="17" t="s">
        <v>307</v>
      </c>
      <c r="V174" s="13" t="s">
        <v>121</v>
      </c>
    </row>
    <row r="175" spans="1:22" ht="15" customHeight="1">
      <c r="A175" s="81" t="s">
        <v>0</v>
      </c>
      <c r="B175" s="81"/>
      <c r="C175" s="81"/>
      <c r="D175" s="81"/>
      <c r="E175" s="81"/>
      <c r="F175" s="81"/>
      <c r="G175" s="81"/>
      <c r="H175" s="74">
        <f aca="true" t="shared" si="20" ref="H175:T175">SUM(H174:H174)</f>
        <v>4433.28</v>
      </c>
      <c r="I175" s="74">
        <f t="shared" si="20"/>
        <v>5369.28</v>
      </c>
      <c r="J175" s="74">
        <f t="shared" si="20"/>
        <v>5958.48</v>
      </c>
      <c r="K175" s="74">
        <f t="shared" si="20"/>
        <v>5656.38</v>
      </c>
      <c r="L175" s="74">
        <f t="shared" si="20"/>
        <v>6262.34</v>
      </c>
      <c r="M175" s="74">
        <f t="shared" si="20"/>
        <v>6013.86</v>
      </c>
      <c r="N175" s="74">
        <f t="shared" si="20"/>
        <v>5858.5</v>
      </c>
      <c r="O175" s="74">
        <f t="shared" si="20"/>
        <v>7336.34</v>
      </c>
      <c r="P175" s="74">
        <f t="shared" si="20"/>
        <v>7336.34</v>
      </c>
      <c r="Q175" s="74">
        <f t="shared" si="20"/>
        <v>6589.3</v>
      </c>
      <c r="R175" s="74">
        <f t="shared" si="20"/>
        <v>5478.76</v>
      </c>
      <c r="S175" s="74">
        <f t="shared" si="20"/>
        <v>5215.94</v>
      </c>
      <c r="T175" s="74">
        <f t="shared" si="20"/>
        <v>71508.79999999999</v>
      </c>
      <c r="U175" s="87"/>
      <c r="V175" s="87"/>
    </row>
    <row r="176" spans="1:22" s="37" customFormat="1" ht="15" customHeight="1">
      <c r="A176" s="38"/>
      <c r="B176" s="38"/>
      <c r="C176" s="36"/>
      <c r="D176" s="10"/>
      <c r="E176" s="10"/>
      <c r="G176" s="10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20"/>
      <c r="U176" s="20"/>
      <c r="V176" s="10"/>
    </row>
    <row r="177" spans="1:22" s="21" customFormat="1" ht="15" customHeight="1">
      <c r="A177" s="83" t="s">
        <v>401</v>
      </c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5"/>
    </row>
    <row r="178" spans="1:22" ht="15" customHeight="1">
      <c r="A178" s="11" t="s">
        <v>143</v>
      </c>
      <c r="B178" s="11" t="s">
        <v>145</v>
      </c>
      <c r="C178" s="12" t="s">
        <v>463</v>
      </c>
      <c r="D178" s="13" t="s">
        <v>464</v>
      </c>
      <c r="E178" s="14">
        <v>44518</v>
      </c>
      <c r="F178" s="12" t="s">
        <v>465</v>
      </c>
      <c r="G178" s="14">
        <v>44883</v>
      </c>
      <c r="H178" s="15">
        <v>1300</v>
      </c>
      <c r="I178" s="15">
        <v>1300</v>
      </c>
      <c r="J178" s="15">
        <v>1300</v>
      </c>
      <c r="K178" s="15">
        <v>1300</v>
      </c>
      <c r="L178" s="15">
        <v>1300</v>
      </c>
      <c r="M178" s="15">
        <v>1300</v>
      </c>
      <c r="N178" s="15">
        <v>1300</v>
      </c>
      <c r="O178" s="15">
        <v>1300</v>
      </c>
      <c r="P178" s="15">
        <v>1300</v>
      </c>
      <c r="Q178" s="15">
        <v>1300</v>
      </c>
      <c r="R178" s="15">
        <v>1300</v>
      </c>
      <c r="S178" s="15">
        <v>1300</v>
      </c>
      <c r="T178" s="16">
        <f>SUM(H178:S178)</f>
        <v>15600</v>
      </c>
      <c r="U178" s="17" t="s">
        <v>307</v>
      </c>
      <c r="V178" s="13" t="s">
        <v>121</v>
      </c>
    </row>
    <row r="179" spans="1:22" ht="15" customHeight="1">
      <c r="A179" s="11"/>
      <c r="B179" s="11"/>
      <c r="C179" s="12"/>
      <c r="D179" s="13"/>
      <c r="E179" s="14"/>
      <c r="F179" s="71"/>
      <c r="G179" s="14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6">
        <f>SUM(H179:S179)</f>
        <v>0</v>
      </c>
      <c r="U179" s="17"/>
      <c r="V179" s="13"/>
    </row>
    <row r="180" spans="1:22" ht="15" customHeight="1">
      <c r="A180" s="81" t="s">
        <v>0</v>
      </c>
      <c r="B180" s="81"/>
      <c r="C180" s="81"/>
      <c r="D180" s="81"/>
      <c r="E180" s="81"/>
      <c r="F180" s="81"/>
      <c r="G180" s="81"/>
      <c r="H180" s="74">
        <f>SUM(H178:H179)</f>
        <v>1300</v>
      </c>
      <c r="I180" s="74">
        <f aca="true" t="shared" si="21" ref="I180:T180">SUM(I178:I179)</f>
        <v>1300</v>
      </c>
      <c r="J180" s="74">
        <f t="shared" si="21"/>
        <v>1300</v>
      </c>
      <c r="K180" s="74">
        <f t="shared" si="21"/>
        <v>1300</v>
      </c>
      <c r="L180" s="74">
        <f t="shared" si="21"/>
        <v>1300</v>
      </c>
      <c r="M180" s="74">
        <f t="shared" si="21"/>
        <v>1300</v>
      </c>
      <c r="N180" s="74">
        <f t="shared" si="21"/>
        <v>1300</v>
      </c>
      <c r="O180" s="74">
        <f t="shared" si="21"/>
        <v>1300</v>
      </c>
      <c r="P180" s="74">
        <f t="shared" si="21"/>
        <v>1300</v>
      </c>
      <c r="Q180" s="74">
        <f t="shared" si="21"/>
        <v>1300</v>
      </c>
      <c r="R180" s="74">
        <f t="shared" si="21"/>
        <v>1300</v>
      </c>
      <c r="S180" s="74">
        <f t="shared" si="21"/>
        <v>1300</v>
      </c>
      <c r="T180" s="74">
        <f t="shared" si="21"/>
        <v>15600</v>
      </c>
      <c r="U180" s="87"/>
      <c r="V180" s="87"/>
    </row>
    <row r="181" spans="1:22" ht="15" customHeight="1">
      <c r="A181" s="8"/>
      <c r="B181" s="8"/>
      <c r="C181" s="8"/>
      <c r="D181" s="8"/>
      <c r="E181" s="8"/>
      <c r="F181" s="8"/>
      <c r="G181" s="8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s="21" customFormat="1" ht="15" customHeight="1">
      <c r="A182" s="83" t="s">
        <v>493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5"/>
    </row>
    <row r="183" spans="1:22" ht="33" customHeight="1">
      <c r="A183" s="11" t="s">
        <v>143</v>
      </c>
      <c r="B183" s="11" t="s">
        <v>145</v>
      </c>
      <c r="C183" s="12" t="s">
        <v>494</v>
      </c>
      <c r="D183" s="13" t="s">
        <v>495</v>
      </c>
      <c r="E183" s="14">
        <v>44713</v>
      </c>
      <c r="F183" s="12" t="s">
        <v>496</v>
      </c>
      <c r="G183" s="14">
        <v>44896</v>
      </c>
      <c r="H183" s="15">
        <v>0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5">
        <v>1772</v>
      </c>
      <c r="O183" s="15">
        <v>9503.2</v>
      </c>
      <c r="P183" s="15">
        <v>3065.6</v>
      </c>
      <c r="Q183" s="15">
        <v>5583.2</v>
      </c>
      <c r="R183" s="15">
        <v>4028</v>
      </c>
      <c r="S183" s="15">
        <v>0</v>
      </c>
      <c r="T183" s="16">
        <f>SUM(H183:S183)</f>
        <v>23952</v>
      </c>
      <c r="U183" s="17" t="s">
        <v>497</v>
      </c>
      <c r="V183" s="13" t="s">
        <v>121</v>
      </c>
    </row>
    <row r="184" spans="1:22" ht="15" customHeight="1">
      <c r="A184" s="11"/>
      <c r="B184" s="11"/>
      <c r="C184" s="12"/>
      <c r="D184" s="13"/>
      <c r="E184" s="14"/>
      <c r="F184" s="71"/>
      <c r="G184" s="14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6">
        <f>SUM(H184:S184)</f>
        <v>0</v>
      </c>
      <c r="U184" s="17"/>
      <c r="V184" s="13"/>
    </row>
    <row r="185" spans="1:22" ht="15" customHeight="1">
      <c r="A185" s="81" t="s">
        <v>0</v>
      </c>
      <c r="B185" s="81"/>
      <c r="C185" s="81"/>
      <c r="D185" s="81"/>
      <c r="E185" s="81"/>
      <c r="F185" s="81"/>
      <c r="G185" s="81"/>
      <c r="H185" s="74">
        <f>SUM(H183:H184)</f>
        <v>0</v>
      </c>
      <c r="I185" s="74">
        <f aca="true" t="shared" si="22" ref="I185:T185">SUM(I183:I184)</f>
        <v>0</v>
      </c>
      <c r="J185" s="74">
        <f t="shared" si="22"/>
        <v>0</v>
      </c>
      <c r="K185" s="74">
        <f t="shared" si="22"/>
        <v>0</v>
      </c>
      <c r="L185" s="74">
        <f t="shared" si="22"/>
        <v>0</v>
      </c>
      <c r="M185" s="74">
        <f t="shared" si="22"/>
        <v>0</v>
      </c>
      <c r="N185" s="74">
        <f t="shared" si="22"/>
        <v>1772</v>
      </c>
      <c r="O185" s="74">
        <f t="shared" si="22"/>
        <v>9503.2</v>
      </c>
      <c r="P185" s="74">
        <f t="shared" si="22"/>
        <v>3065.6</v>
      </c>
      <c r="Q185" s="74">
        <f t="shared" si="22"/>
        <v>5583.2</v>
      </c>
      <c r="R185" s="74">
        <f t="shared" si="22"/>
        <v>4028</v>
      </c>
      <c r="S185" s="74">
        <f t="shared" si="22"/>
        <v>0</v>
      </c>
      <c r="T185" s="74">
        <f t="shared" si="22"/>
        <v>23952</v>
      </c>
      <c r="U185" s="87"/>
      <c r="V185" s="87"/>
    </row>
    <row r="186" spans="1:22" s="37" customFormat="1" ht="15" customHeight="1">
      <c r="A186" s="38"/>
      <c r="B186" s="38"/>
      <c r="C186" s="36"/>
      <c r="D186" s="10"/>
      <c r="E186" s="10"/>
      <c r="G186" s="10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20"/>
      <c r="U186" s="20"/>
      <c r="V186" s="10"/>
    </row>
    <row r="187" spans="1:22" ht="15" customHeight="1">
      <c r="A187" s="81" t="s">
        <v>5</v>
      </c>
      <c r="B187" s="81"/>
      <c r="C187" s="81"/>
      <c r="D187" s="81"/>
      <c r="E187" s="81"/>
      <c r="F187" s="81"/>
      <c r="G187" s="81"/>
      <c r="H187" s="74">
        <f>H23+H27+H107+H113+H118+H122+H126+H131+H135+H141+H145+H150+H154+H162+H167+H171+H175+H180+H185</f>
        <v>922643.6699999999</v>
      </c>
      <c r="I187" s="74">
        <f aca="true" t="shared" si="23" ref="I187:S187">I23+I27+I107+I113+I118+I122+I126+I131+I135+I141+I145+I150+I154+I162+I167+I171+I175+I180+I185</f>
        <v>961793.2499999998</v>
      </c>
      <c r="J187" s="74">
        <f t="shared" si="23"/>
        <v>996849.3799999999</v>
      </c>
      <c r="K187" s="74">
        <f t="shared" si="23"/>
        <v>987004.1499999999</v>
      </c>
      <c r="L187" s="74">
        <f t="shared" si="23"/>
        <v>1090014.9000000001</v>
      </c>
      <c r="M187" s="74">
        <f t="shared" si="23"/>
        <v>1042244.34</v>
      </c>
      <c r="N187" s="74">
        <f t="shared" si="23"/>
        <v>1025898.65</v>
      </c>
      <c r="O187" s="74">
        <f t="shared" si="23"/>
        <v>1102333.863</v>
      </c>
      <c r="P187" s="74">
        <f t="shared" si="23"/>
        <v>1093525.35</v>
      </c>
      <c r="Q187" s="74">
        <f t="shared" si="23"/>
        <v>888300.4300000002</v>
      </c>
      <c r="R187" s="74">
        <f t="shared" si="23"/>
        <v>850797.6900000001</v>
      </c>
      <c r="S187" s="74">
        <f t="shared" si="23"/>
        <v>940201.4299999999</v>
      </c>
      <c r="T187" s="74">
        <f>T23+T27+T107+T113+T118+T122+T126+T131+T135+T141+T145+T150+T154+T162+T167+T171+T175+T180+T185</f>
        <v>11901607.103</v>
      </c>
      <c r="U187" s="87"/>
      <c r="V187" s="87"/>
    </row>
    <row r="188" spans="8:21" ht="15" customHeight="1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5:7" ht="15" customHeight="1">
      <c r="E189" s="2"/>
      <c r="G189" s="2"/>
    </row>
    <row r="190" spans="1:22" ht="15" customHeight="1">
      <c r="A190" s="89"/>
      <c r="B190" s="89"/>
      <c r="C190" s="89"/>
      <c r="D190" s="89"/>
      <c r="E190" s="89"/>
      <c r="F190" s="89"/>
      <c r="G190" s="89"/>
      <c r="H190" s="89"/>
      <c r="I190" s="89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4">
        <f>T187</f>
        <v>11901607.103</v>
      </c>
      <c r="U190" s="91"/>
      <c r="V190" s="92"/>
    </row>
    <row r="191" spans="5:7" ht="15" customHeight="1">
      <c r="E191" s="2"/>
      <c r="G191" s="2"/>
    </row>
  </sheetData>
  <sheetProtection/>
  <mergeCells count="84">
    <mergeCell ref="A185:G185"/>
    <mergeCell ref="U185:V185"/>
    <mergeCell ref="U118:V118"/>
    <mergeCell ref="A27:G27"/>
    <mergeCell ref="I10:I11"/>
    <mergeCell ref="U10:U11"/>
    <mergeCell ref="J10:J11"/>
    <mergeCell ref="A109:V109"/>
    <mergeCell ref="A115:V115"/>
    <mergeCell ref="H10:H11"/>
    <mergeCell ref="A118:G118"/>
    <mergeCell ref="A107:G107"/>
    <mergeCell ref="U113:V113"/>
    <mergeCell ref="U23:V23"/>
    <mergeCell ref="U107:V107"/>
    <mergeCell ref="O10:O11"/>
    <mergeCell ref="A23:G23"/>
    <mergeCell ref="A25:V25"/>
    <mergeCell ref="R10:R11"/>
    <mergeCell ref="P10:P11"/>
    <mergeCell ref="A122:G122"/>
    <mergeCell ref="U122:V122"/>
    <mergeCell ref="A171:G171"/>
    <mergeCell ref="U180:V180"/>
    <mergeCell ref="A152:V152"/>
    <mergeCell ref="A164:V164"/>
    <mergeCell ref="U150:V150"/>
    <mergeCell ref="A150:G150"/>
    <mergeCell ref="U126:V126"/>
    <mergeCell ref="A156:V156"/>
    <mergeCell ref="A190:I190"/>
    <mergeCell ref="A187:G187"/>
    <mergeCell ref="U190:V190"/>
    <mergeCell ref="U187:V187"/>
    <mergeCell ref="A177:V177"/>
    <mergeCell ref="U171:V171"/>
    <mergeCell ref="A173:V173"/>
    <mergeCell ref="A180:G180"/>
    <mergeCell ref="A175:G175"/>
    <mergeCell ref="A182:V182"/>
    <mergeCell ref="A135:G135"/>
    <mergeCell ref="A143:V143"/>
    <mergeCell ref="U131:V131"/>
    <mergeCell ref="A169:V169"/>
    <mergeCell ref="U162:V162"/>
    <mergeCell ref="A147:V147"/>
    <mergeCell ref="U154:V154"/>
    <mergeCell ref="A137:V137"/>
    <mergeCell ref="A120:V120"/>
    <mergeCell ref="U167:V167"/>
    <mergeCell ref="A133:V133"/>
    <mergeCell ref="A124:V124"/>
    <mergeCell ref="A128:V128"/>
    <mergeCell ref="A154:G154"/>
    <mergeCell ref="A141:G141"/>
    <mergeCell ref="A162:G162"/>
    <mergeCell ref="U135:V135"/>
    <mergeCell ref="U145:V145"/>
    <mergeCell ref="A126:G126"/>
    <mergeCell ref="F10:F11"/>
    <mergeCell ref="M10:M11"/>
    <mergeCell ref="G10:G11"/>
    <mergeCell ref="U175:V175"/>
    <mergeCell ref="U141:V141"/>
    <mergeCell ref="A131:G131"/>
    <mergeCell ref="A145:G145"/>
    <mergeCell ref="A167:G167"/>
    <mergeCell ref="D10:D11"/>
    <mergeCell ref="A113:G113"/>
    <mergeCell ref="B10:B11"/>
    <mergeCell ref="L10:L11"/>
    <mergeCell ref="S10:S11"/>
    <mergeCell ref="Q10:Q11"/>
    <mergeCell ref="C10:C11"/>
    <mergeCell ref="K10:K11"/>
    <mergeCell ref="A13:V13"/>
    <mergeCell ref="A29:V29"/>
    <mergeCell ref="U27:V27"/>
    <mergeCell ref="C2:T2"/>
    <mergeCell ref="A8:V8"/>
    <mergeCell ref="V10:V11"/>
    <mergeCell ref="N10:N11"/>
    <mergeCell ref="T10:T11"/>
    <mergeCell ref="E10:E11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21"/>
  <sheetViews>
    <sheetView showGridLines="0" zoomScale="90" zoomScaleNormal="90" zoomScaleSheetLayoutView="70" workbookViewId="0" topLeftCell="H4">
      <pane ySplit="10" topLeftCell="A14" activePane="bottomLeft" state="frozen"/>
      <selection pane="topLeft" activeCell="A4" sqref="A4"/>
      <selection pane="bottomLeft" activeCell="T22" sqref="T22"/>
    </sheetView>
  </sheetViews>
  <sheetFormatPr defaultColWidth="9.140625" defaultRowHeight="15"/>
  <cols>
    <col min="1" max="1" width="18.7109375" style="68" customWidth="1"/>
    <col min="2" max="2" width="22.7109375" style="68" customWidth="1"/>
    <col min="3" max="3" width="46.00390625" style="4" customWidth="1"/>
    <col min="4" max="4" width="19.28125" style="1" customWidth="1"/>
    <col min="5" max="5" width="19.8515625" style="1" customWidth="1"/>
    <col min="6" max="6" width="57.140625" style="2" customWidth="1"/>
    <col min="7" max="7" width="19.8515625" style="1" customWidth="1"/>
    <col min="8" max="8" width="12.421875" style="1" customWidth="1"/>
    <col min="9" max="9" width="12.28125" style="1" customWidth="1"/>
    <col min="10" max="10" width="13.7109375" style="1" customWidth="1"/>
    <col min="11" max="11" width="14.28125" style="1" customWidth="1"/>
    <col min="12" max="12" width="14.57421875" style="1" customWidth="1"/>
    <col min="13" max="13" width="13.7109375" style="1" customWidth="1"/>
    <col min="14" max="14" width="13.8515625" style="1" customWidth="1"/>
    <col min="15" max="15" width="15.140625" style="1" customWidth="1"/>
    <col min="16" max="19" width="15.28125" style="1" customWidth="1"/>
    <col min="20" max="20" width="15.140625" style="3" customWidth="1"/>
    <col min="21" max="21" width="25.7109375" style="3" hidden="1" customWidth="1"/>
    <col min="22" max="22" width="13.7109375" style="1" hidden="1" customWidth="1"/>
    <col min="23" max="23" width="12.421875" style="2" hidden="1" customWidth="1"/>
    <col min="24" max="16384" width="9.140625" style="2" customWidth="1"/>
  </cols>
  <sheetData>
    <row r="1" ht="12.75"/>
    <row r="2" spans="3:22" ht="12.75"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67"/>
      <c r="V2" s="2"/>
    </row>
    <row r="3" ht="12.75"/>
    <row r="4" ht="12.75"/>
    <row r="5" ht="12.75"/>
    <row r="6" ht="12.75"/>
    <row r="7" ht="12.75"/>
    <row r="8" spans="1:22" ht="12.75">
      <c r="A8" s="78" t="s">
        <v>349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</row>
    <row r="9" ht="12.75"/>
    <row r="10" spans="1:22" ht="12.75">
      <c r="A10" s="5" t="s">
        <v>141</v>
      </c>
      <c r="B10" s="82" t="s">
        <v>144</v>
      </c>
      <c r="C10" s="81" t="s">
        <v>6</v>
      </c>
      <c r="D10" s="79" t="s">
        <v>8</v>
      </c>
      <c r="E10" s="81" t="s">
        <v>303</v>
      </c>
      <c r="F10" s="81" t="s">
        <v>7</v>
      </c>
      <c r="G10" s="81" t="s">
        <v>94</v>
      </c>
      <c r="H10" s="80" t="s">
        <v>2</v>
      </c>
      <c r="I10" s="80" t="s">
        <v>1</v>
      </c>
      <c r="J10" s="80" t="s">
        <v>16</v>
      </c>
      <c r="K10" s="80" t="s">
        <v>17</v>
      </c>
      <c r="L10" s="80" t="s">
        <v>18</v>
      </c>
      <c r="M10" s="80" t="s">
        <v>19</v>
      </c>
      <c r="N10" s="80" t="s">
        <v>20</v>
      </c>
      <c r="O10" s="80" t="s">
        <v>23</v>
      </c>
      <c r="P10" s="80" t="s">
        <v>24</v>
      </c>
      <c r="Q10" s="80" t="s">
        <v>25</v>
      </c>
      <c r="R10" s="80" t="s">
        <v>26</v>
      </c>
      <c r="S10" s="80" t="s">
        <v>27</v>
      </c>
      <c r="T10" s="80" t="s">
        <v>3</v>
      </c>
      <c r="U10" s="81" t="s">
        <v>306</v>
      </c>
      <c r="V10" s="79" t="s">
        <v>120</v>
      </c>
    </row>
    <row r="11" spans="1:22" ht="12.75">
      <c r="A11" s="6" t="s">
        <v>142</v>
      </c>
      <c r="B11" s="82"/>
      <c r="C11" s="81"/>
      <c r="D11" s="79"/>
      <c r="E11" s="81"/>
      <c r="F11" s="81"/>
      <c r="G11" s="81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1"/>
      <c r="V11" s="79"/>
    </row>
    <row r="12" spans="1:22" ht="12.75">
      <c r="A12" s="7"/>
      <c r="B12" s="7"/>
      <c r="C12" s="8"/>
      <c r="D12" s="9"/>
      <c r="E12" s="8"/>
      <c r="F12" s="8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8"/>
      <c r="V12" s="9"/>
    </row>
    <row r="13" spans="1:22" ht="15">
      <c r="A13" s="95" t="s">
        <v>389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7"/>
    </row>
    <row r="14" spans="1:22" ht="25.5">
      <c r="A14" s="11" t="s">
        <v>143</v>
      </c>
      <c r="B14" s="11" t="s">
        <v>145</v>
      </c>
      <c r="C14" s="12" t="s">
        <v>29</v>
      </c>
      <c r="D14" s="13" t="s">
        <v>40</v>
      </c>
      <c r="E14" s="14">
        <v>43435</v>
      </c>
      <c r="F14" s="12" t="s">
        <v>30</v>
      </c>
      <c r="G14" s="14">
        <v>44165</v>
      </c>
      <c r="H14" s="15">
        <v>1953.61</v>
      </c>
      <c r="I14" s="15">
        <v>1953.61</v>
      </c>
      <c r="J14" s="15">
        <f>789.62+1116.22</f>
        <v>1905.8400000000001</v>
      </c>
      <c r="K14" s="15">
        <f>972.91+627.57</f>
        <v>1600.48</v>
      </c>
      <c r="L14" s="15">
        <v>1873.43</v>
      </c>
      <c r="M14" s="15">
        <f>1116.22+757.21</f>
        <v>1873.43</v>
      </c>
      <c r="N14" s="15">
        <f>1116.22+757.21</f>
        <v>1873.43</v>
      </c>
      <c r="O14" s="15">
        <f>1116.22+757.21</f>
        <v>1873.43</v>
      </c>
      <c r="P14" s="15">
        <f>757.21+1116.22</f>
        <v>1873.43</v>
      </c>
      <c r="Q14" s="15">
        <f>757.21+1116.22</f>
        <v>1873.43</v>
      </c>
      <c r="R14" s="15">
        <f>757.21+1116.22</f>
        <v>1873.43</v>
      </c>
      <c r="S14" s="15">
        <f>894.95+1319.26</f>
        <v>2214.21</v>
      </c>
      <c r="T14" s="16">
        <f aca="true" t="shared" si="0" ref="T14:T22">SUM(H14:S14)</f>
        <v>22741.76</v>
      </c>
      <c r="U14" s="17" t="s">
        <v>308</v>
      </c>
      <c r="V14" s="13" t="s">
        <v>121</v>
      </c>
    </row>
    <row r="15" spans="1:22" ht="25.5">
      <c r="A15" s="11" t="s">
        <v>143</v>
      </c>
      <c r="B15" s="11" t="s">
        <v>145</v>
      </c>
      <c r="C15" s="12" t="s">
        <v>104</v>
      </c>
      <c r="D15" s="13" t="s">
        <v>102</v>
      </c>
      <c r="E15" s="14">
        <v>43435</v>
      </c>
      <c r="F15" s="12" t="s">
        <v>103</v>
      </c>
      <c r="G15" s="14">
        <v>44165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825</v>
      </c>
      <c r="S15" s="15">
        <v>0</v>
      </c>
      <c r="T15" s="16">
        <f t="shared" si="0"/>
        <v>825</v>
      </c>
      <c r="U15" s="17" t="s">
        <v>309</v>
      </c>
      <c r="V15" s="13" t="s">
        <v>121</v>
      </c>
    </row>
    <row r="16" spans="1:22" ht="25.5">
      <c r="A16" s="11" t="s">
        <v>143</v>
      </c>
      <c r="B16" s="11" t="s">
        <v>145</v>
      </c>
      <c r="C16" s="12" t="s">
        <v>124</v>
      </c>
      <c r="D16" s="13" t="s">
        <v>125</v>
      </c>
      <c r="E16" s="14">
        <v>43435</v>
      </c>
      <c r="F16" s="18" t="s">
        <v>38</v>
      </c>
      <c r="G16" s="14">
        <v>44165</v>
      </c>
      <c r="H16" s="15">
        <v>2298</v>
      </c>
      <c r="I16" s="15">
        <v>2298</v>
      </c>
      <c r="J16" s="15">
        <v>2298</v>
      </c>
      <c r="K16" s="15">
        <v>2298</v>
      </c>
      <c r="L16" s="15">
        <v>2298</v>
      </c>
      <c r="M16" s="15">
        <v>2298</v>
      </c>
      <c r="N16" s="15">
        <v>2298</v>
      </c>
      <c r="O16" s="15">
        <v>2298</v>
      </c>
      <c r="P16" s="15">
        <v>2298</v>
      </c>
      <c r="Q16" s="15">
        <v>2298</v>
      </c>
      <c r="R16" s="15">
        <v>2298</v>
      </c>
      <c r="S16" s="15">
        <v>2298</v>
      </c>
      <c r="T16" s="16">
        <f t="shared" si="0"/>
        <v>27576</v>
      </c>
      <c r="U16" s="17" t="s">
        <v>310</v>
      </c>
      <c r="V16" s="13" t="s">
        <v>121</v>
      </c>
    </row>
    <row r="17" spans="1:22" ht="25.5">
      <c r="A17" s="11" t="s">
        <v>143</v>
      </c>
      <c r="B17" s="11" t="s">
        <v>145</v>
      </c>
      <c r="C17" s="12" t="s">
        <v>122</v>
      </c>
      <c r="D17" s="13" t="s">
        <v>123</v>
      </c>
      <c r="E17" s="14">
        <v>43435</v>
      </c>
      <c r="F17" s="18" t="s">
        <v>31</v>
      </c>
      <c r="G17" s="14">
        <v>44165</v>
      </c>
      <c r="H17" s="15">
        <v>252.54</v>
      </c>
      <c r="I17" s="15">
        <v>252.54</v>
      </c>
      <c r="J17" s="15">
        <v>252.54</v>
      </c>
      <c r="K17" s="15">
        <v>252.54</v>
      </c>
      <c r="L17" s="15">
        <v>252.54</v>
      </c>
      <c r="M17" s="15">
        <v>252.54</v>
      </c>
      <c r="N17" s="15">
        <v>252.54</v>
      </c>
      <c r="O17" s="15">
        <v>252.54</v>
      </c>
      <c r="P17" s="15">
        <v>252.54</v>
      </c>
      <c r="Q17" s="15">
        <v>252.54</v>
      </c>
      <c r="R17" s="15">
        <v>252.54</v>
      </c>
      <c r="S17" s="15">
        <v>252.54</v>
      </c>
      <c r="T17" s="16">
        <f t="shared" si="0"/>
        <v>3030.48</v>
      </c>
      <c r="U17" s="17" t="s">
        <v>311</v>
      </c>
      <c r="V17" s="13" t="s">
        <v>121</v>
      </c>
    </row>
    <row r="18" spans="1:22" ht="25.5">
      <c r="A18" s="11" t="s">
        <v>143</v>
      </c>
      <c r="B18" s="11" t="s">
        <v>145</v>
      </c>
      <c r="C18" s="12" t="s">
        <v>378</v>
      </c>
      <c r="D18" s="13" t="s">
        <v>379</v>
      </c>
      <c r="E18" s="14">
        <v>43974</v>
      </c>
      <c r="F18" s="18" t="s">
        <v>358</v>
      </c>
      <c r="G18" s="14">
        <v>44704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14100</v>
      </c>
      <c r="N18" s="15">
        <v>22167</v>
      </c>
      <c r="O18" s="15">
        <v>22167</v>
      </c>
      <c r="P18" s="15">
        <v>22167</v>
      </c>
      <c r="Q18" s="15">
        <v>22167</v>
      </c>
      <c r="R18" s="15">
        <v>22167</v>
      </c>
      <c r="S18" s="15">
        <v>18700</v>
      </c>
      <c r="T18" s="16">
        <f t="shared" si="0"/>
        <v>143635</v>
      </c>
      <c r="U18" s="17" t="s">
        <v>310</v>
      </c>
      <c r="V18" s="13" t="s">
        <v>121</v>
      </c>
    </row>
    <row r="19" spans="1:22" ht="25.5">
      <c r="A19" s="11" t="s">
        <v>143</v>
      </c>
      <c r="B19" s="11" t="s">
        <v>145</v>
      </c>
      <c r="C19" s="12" t="s">
        <v>411</v>
      </c>
      <c r="D19" s="13" t="s">
        <v>412</v>
      </c>
      <c r="E19" s="14">
        <v>44098</v>
      </c>
      <c r="F19" s="18" t="s">
        <v>413</v>
      </c>
      <c r="G19" s="14">
        <v>44462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844.2</v>
      </c>
      <c r="R19" s="15">
        <v>844.2</v>
      </c>
      <c r="S19" s="15">
        <v>844.2</v>
      </c>
      <c r="T19" s="16">
        <f t="shared" si="0"/>
        <v>2532.6000000000004</v>
      </c>
      <c r="U19" s="17" t="s">
        <v>414</v>
      </c>
      <c r="V19" s="13" t="s">
        <v>121</v>
      </c>
    </row>
    <row r="20" spans="1:22" s="52" customFormat="1" ht="38.25">
      <c r="A20" s="42" t="s">
        <v>336</v>
      </c>
      <c r="B20" s="42" t="s">
        <v>145</v>
      </c>
      <c r="C20" s="43" t="s">
        <v>166</v>
      </c>
      <c r="D20" s="44" t="s">
        <v>167</v>
      </c>
      <c r="E20" s="45">
        <v>43435</v>
      </c>
      <c r="F20" s="49" t="s">
        <v>168</v>
      </c>
      <c r="G20" s="45">
        <v>44165</v>
      </c>
      <c r="H20" s="46">
        <v>10750</v>
      </c>
      <c r="I20" s="46">
        <v>10750</v>
      </c>
      <c r="J20" s="46">
        <v>10750</v>
      </c>
      <c r="K20" s="46">
        <v>10750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7">
        <f t="shared" si="0"/>
        <v>43000</v>
      </c>
      <c r="U20" s="48" t="s">
        <v>310</v>
      </c>
      <c r="V20" s="44" t="s">
        <v>121</v>
      </c>
    </row>
    <row r="21" spans="1:22" s="52" customFormat="1" ht="25.5">
      <c r="A21" s="42" t="s">
        <v>336</v>
      </c>
      <c r="B21" s="42" t="s">
        <v>145</v>
      </c>
      <c r="C21" s="43" t="s">
        <v>212</v>
      </c>
      <c r="D21" s="44" t="s">
        <v>172</v>
      </c>
      <c r="E21" s="45">
        <v>43435</v>
      </c>
      <c r="F21" s="49" t="s">
        <v>173</v>
      </c>
      <c r="G21" s="45">
        <v>44167</v>
      </c>
      <c r="H21" s="46">
        <v>14899</v>
      </c>
      <c r="I21" s="46">
        <v>14899</v>
      </c>
      <c r="J21" s="46">
        <v>14899</v>
      </c>
      <c r="K21" s="46">
        <v>14899</v>
      </c>
      <c r="L21" s="46">
        <v>10925.93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7">
        <f t="shared" si="0"/>
        <v>70521.93</v>
      </c>
      <c r="U21" s="48" t="s">
        <v>307</v>
      </c>
      <c r="V21" s="44" t="s">
        <v>121</v>
      </c>
    </row>
    <row r="22" spans="1:22" ht="12.75">
      <c r="A22" s="81" t="s">
        <v>0</v>
      </c>
      <c r="B22" s="81"/>
      <c r="C22" s="81"/>
      <c r="D22" s="81"/>
      <c r="E22" s="81"/>
      <c r="F22" s="81"/>
      <c r="G22" s="81"/>
      <c r="H22" s="65">
        <f aca="true" t="shared" si="1" ref="H22:S22">SUM(H14:H21)</f>
        <v>30153.15</v>
      </c>
      <c r="I22" s="65">
        <f t="shared" si="1"/>
        <v>30153.15</v>
      </c>
      <c r="J22" s="65">
        <f t="shared" si="1"/>
        <v>30105.38</v>
      </c>
      <c r="K22" s="65">
        <f t="shared" si="1"/>
        <v>29800.02</v>
      </c>
      <c r="L22" s="65">
        <f t="shared" si="1"/>
        <v>15349.900000000001</v>
      </c>
      <c r="M22" s="65">
        <f t="shared" si="1"/>
        <v>18523.97</v>
      </c>
      <c r="N22" s="65">
        <f t="shared" si="1"/>
        <v>26590.97</v>
      </c>
      <c r="O22" s="65">
        <f t="shared" si="1"/>
        <v>26590.97</v>
      </c>
      <c r="P22" s="65">
        <f t="shared" si="1"/>
        <v>26590.97</v>
      </c>
      <c r="Q22" s="65">
        <f t="shared" si="1"/>
        <v>27435.170000000002</v>
      </c>
      <c r="R22" s="65">
        <f t="shared" si="1"/>
        <v>28260.170000000002</v>
      </c>
      <c r="S22" s="65">
        <f t="shared" si="1"/>
        <v>24308.95</v>
      </c>
      <c r="T22" s="16">
        <f t="shared" si="0"/>
        <v>313862.77</v>
      </c>
      <c r="U22" s="87"/>
      <c r="V22" s="87"/>
    </row>
    <row r="23" spans="1:22" ht="12.75">
      <c r="A23" s="8"/>
      <c r="B23" s="8"/>
      <c r="C23" s="8"/>
      <c r="D23" s="8"/>
      <c r="E23" s="8"/>
      <c r="F23" s="8"/>
      <c r="G23" s="8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19"/>
      <c r="V23" s="19"/>
    </row>
    <row r="24" spans="1:22" s="21" customFormat="1" ht="15">
      <c r="A24" s="95" t="s">
        <v>390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</row>
    <row r="25" spans="1:22" s="4" customFormat="1" ht="25.5">
      <c r="A25" s="22" t="s">
        <v>143</v>
      </c>
      <c r="B25" s="22" t="s">
        <v>145</v>
      </c>
      <c r="C25" s="12" t="s">
        <v>4</v>
      </c>
      <c r="D25" s="23" t="s">
        <v>41</v>
      </c>
      <c r="E25" s="14">
        <v>43435</v>
      </c>
      <c r="F25" s="18" t="s">
        <v>11</v>
      </c>
      <c r="G25" s="14">
        <v>44165</v>
      </c>
      <c r="H25" s="15">
        <v>569.03</v>
      </c>
      <c r="I25" s="15">
        <v>569.03</v>
      </c>
      <c r="J25" s="15">
        <v>569.03</v>
      </c>
      <c r="K25" s="15">
        <v>569.03</v>
      </c>
      <c r="L25" s="15">
        <v>569.03</v>
      </c>
      <c r="M25" s="15">
        <v>569.03</v>
      </c>
      <c r="N25" s="15">
        <v>569.03</v>
      </c>
      <c r="O25" s="15">
        <v>569.03</v>
      </c>
      <c r="P25" s="15">
        <v>569.03</v>
      </c>
      <c r="Q25" s="15">
        <v>569.03</v>
      </c>
      <c r="R25" s="15">
        <v>569.03</v>
      </c>
      <c r="S25" s="15">
        <v>707.21</v>
      </c>
      <c r="T25" s="16">
        <f>SUM(H25:S25)</f>
        <v>6966.539999999998</v>
      </c>
      <c r="U25" s="17" t="s">
        <v>312</v>
      </c>
      <c r="V25" s="23" t="s">
        <v>121</v>
      </c>
    </row>
    <row r="26" spans="1:22" ht="12.75">
      <c r="A26" s="81" t="s">
        <v>0</v>
      </c>
      <c r="B26" s="81"/>
      <c r="C26" s="81"/>
      <c r="D26" s="81"/>
      <c r="E26" s="81"/>
      <c r="F26" s="81"/>
      <c r="G26" s="81"/>
      <c r="H26" s="65">
        <f aca="true" t="shared" si="2" ref="H26:S26">SUM(H25:H25)</f>
        <v>569.03</v>
      </c>
      <c r="I26" s="65">
        <f t="shared" si="2"/>
        <v>569.03</v>
      </c>
      <c r="J26" s="65">
        <f t="shared" si="2"/>
        <v>569.03</v>
      </c>
      <c r="K26" s="65">
        <f t="shared" si="2"/>
        <v>569.03</v>
      </c>
      <c r="L26" s="65">
        <f t="shared" si="2"/>
        <v>569.03</v>
      </c>
      <c r="M26" s="65">
        <f t="shared" si="2"/>
        <v>569.03</v>
      </c>
      <c r="N26" s="65">
        <f t="shared" si="2"/>
        <v>569.03</v>
      </c>
      <c r="O26" s="65">
        <f t="shared" si="2"/>
        <v>569.03</v>
      </c>
      <c r="P26" s="65">
        <f t="shared" si="2"/>
        <v>569.03</v>
      </c>
      <c r="Q26" s="65">
        <f t="shared" si="2"/>
        <v>569.03</v>
      </c>
      <c r="R26" s="65">
        <f t="shared" si="2"/>
        <v>569.03</v>
      </c>
      <c r="S26" s="65">
        <f t="shared" si="2"/>
        <v>707.21</v>
      </c>
      <c r="T26" s="16">
        <f>SUM(H26:S26)</f>
        <v>6966.539999999998</v>
      </c>
      <c r="U26" s="87"/>
      <c r="V26" s="87"/>
    </row>
    <row r="27" spans="1:22" s="21" customFormat="1" ht="12.75">
      <c r="A27" s="8"/>
      <c r="B27" s="8"/>
      <c r="C27" s="8"/>
      <c r="D27" s="8"/>
      <c r="E27" s="8"/>
      <c r="F27" s="8"/>
      <c r="G27" s="8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20"/>
      <c r="V27" s="10"/>
    </row>
    <row r="28" spans="1:22" s="21" customFormat="1" ht="15">
      <c r="A28" s="98" t="s">
        <v>391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1:22" ht="30" customHeight="1">
      <c r="A29" s="11" t="s">
        <v>143</v>
      </c>
      <c r="B29" s="11" t="s">
        <v>145</v>
      </c>
      <c r="C29" s="12" t="s">
        <v>186</v>
      </c>
      <c r="D29" s="13" t="s">
        <v>155</v>
      </c>
      <c r="E29" s="14">
        <v>43435</v>
      </c>
      <c r="F29" s="12" t="s">
        <v>156</v>
      </c>
      <c r="G29" s="14">
        <v>44165</v>
      </c>
      <c r="H29" s="15">
        <v>8800</v>
      </c>
      <c r="I29" s="15">
        <v>7600</v>
      </c>
      <c r="J29" s="15">
        <v>8400</v>
      </c>
      <c r="K29" s="15">
        <v>7600</v>
      </c>
      <c r="L29" s="40">
        <v>7600</v>
      </c>
      <c r="M29" s="15">
        <v>7600</v>
      </c>
      <c r="N29" s="15">
        <v>8800</v>
      </c>
      <c r="O29" s="15">
        <v>8400</v>
      </c>
      <c r="P29" s="15">
        <v>8000</v>
      </c>
      <c r="Q29" s="15">
        <v>6800</v>
      </c>
      <c r="R29" s="15">
        <v>7200</v>
      </c>
      <c r="S29" s="15">
        <v>6400</v>
      </c>
      <c r="T29" s="59">
        <f>SUM(H29:S29)</f>
        <v>93200</v>
      </c>
      <c r="U29" s="17" t="s">
        <v>307</v>
      </c>
      <c r="V29" s="13" t="s">
        <v>121</v>
      </c>
    </row>
    <row r="30" spans="1:22" ht="30" customHeight="1">
      <c r="A30" s="11" t="s">
        <v>143</v>
      </c>
      <c r="B30" s="11" t="s">
        <v>145</v>
      </c>
      <c r="C30" s="12" t="s">
        <v>380</v>
      </c>
      <c r="D30" s="13" t="s">
        <v>381</v>
      </c>
      <c r="E30" s="14">
        <v>43983</v>
      </c>
      <c r="F30" s="12" t="s">
        <v>382</v>
      </c>
      <c r="G30" s="14">
        <v>44347</v>
      </c>
      <c r="H30" s="15">
        <v>0</v>
      </c>
      <c r="I30" s="15">
        <v>0</v>
      </c>
      <c r="J30" s="15">
        <v>0</v>
      </c>
      <c r="K30" s="15">
        <v>0</v>
      </c>
      <c r="L30" s="40">
        <v>0</v>
      </c>
      <c r="M30" s="15">
        <v>3584.4</v>
      </c>
      <c r="N30" s="15">
        <v>9173.6</v>
      </c>
      <c r="O30" s="15">
        <v>8518.8</v>
      </c>
      <c r="P30" s="15">
        <v>8578.8</v>
      </c>
      <c r="Q30" s="15">
        <v>6159.2</v>
      </c>
      <c r="R30" s="15">
        <v>6374</v>
      </c>
      <c r="S30" s="40">
        <v>6159.2</v>
      </c>
      <c r="T30" s="59">
        <f>SUM(H30:S30)</f>
        <v>48547.99999999999</v>
      </c>
      <c r="U30" s="17" t="s">
        <v>307</v>
      </c>
      <c r="V30" s="13" t="s">
        <v>121</v>
      </c>
    </row>
    <row r="31" spans="1:24" ht="30" customHeight="1">
      <c r="A31" s="42" t="s">
        <v>143</v>
      </c>
      <c r="B31" s="42" t="s">
        <v>145</v>
      </c>
      <c r="C31" s="43" t="s">
        <v>187</v>
      </c>
      <c r="D31" s="44" t="s">
        <v>169</v>
      </c>
      <c r="E31" s="45">
        <v>43435</v>
      </c>
      <c r="F31" s="43" t="s">
        <v>72</v>
      </c>
      <c r="G31" s="45">
        <v>44165</v>
      </c>
      <c r="H31" s="46">
        <v>2377.87</v>
      </c>
      <c r="I31" s="46">
        <v>1425.07</v>
      </c>
      <c r="J31" s="46">
        <v>2822.33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7">
        <f aca="true" t="shared" si="3" ref="T31:T108">SUM(H31:S31)</f>
        <v>6625.2699999999995</v>
      </c>
      <c r="U31" s="17" t="s">
        <v>307</v>
      </c>
      <c r="V31" s="13" t="s">
        <v>121</v>
      </c>
      <c r="X31" s="2" t="s">
        <v>427</v>
      </c>
    </row>
    <row r="32" spans="1:22" ht="30" customHeight="1">
      <c r="A32" s="11" t="s">
        <v>143</v>
      </c>
      <c r="B32" s="11" t="s">
        <v>145</v>
      </c>
      <c r="C32" s="12" t="s">
        <v>208</v>
      </c>
      <c r="D32" s="13" t="s">
        <v>223</v>
      </c>
      <c r="E32" s="14">
        <v>43497</v>
      </c>
      <c r="F32" s="12" t="s">
        <v>215</v>
      </c>
      <c r="G32" s="14">
        <v>43861</v>
      </c>
      <c r="H32" s="15">
        <v>9412.5</v>
      </c>
      <c r="I32" s="15">
        <v>7592.5</v>
      </c>
      <c r="J32" s="15">
        <v>9125</v>
      </c>
      <c r="K32" s="15">
        <v>8800</v>
      </c>
      <c r="L32" s="40">
        <v>7012.5</v>
      </c>
      <c r="M32" s="15">
        <v>10427.5</v>
      </c>
      <c r="N32" s="15">
        <v>9825</v>
      </c>
      <c r="O32" s="15">
        <v>8577.5</v>
      </c>
      <c r="P32" s="15">
        <v>9562.5</v>
      </c>
      <c r="Q32" s="15">
        <v>9762.5</v>
      </c>
      <c r="R32" s="15">
        <v>10382.5</v>
      </c>
      <c r="S32" s="40">
        <v>10552.5</v>
      </c>
      <c r="T32" s="59">
        <f t="shared" si="3"/>
        <v>111032.5</v>
      </c>
      <c r="U32" s="17" t="s">
        <v>307</v>
      </c>
      <c r="V32" s="13" t="s">
        <v>121</v>
      </c>
    </row>
    <row r="33" spans="1:22" s="52" customFormat="1" ht="30" customHeight="1">
      <c r="A33" s="42" t="s">
        <v>336</v>
      </c>
      <c r="B33" s="42" t="s">
        <v>145</v>
      </c>
      <c r="C33" s="43" t="s">
        <v>266</v>
      </c>
      <c r="D33" s="44" t="s">
        <v>267</v>
      </c>
      <c r="E33" s="45">
        <v>43556</v>
      </c>
      <c r="F33" s="43" t="s">
        <v>268</v>
      </c>
      <c r="G33" s="45">
        <v>43921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7">
        <f t="shared" si="3"/>
        <v>0</v>
      </c>
      <c r="U33" s="48" t="s">
        <v>307</v>
      </c>
      <c r="V33" s="44" t="s">
        <v>121</v>
      </c>
    </row>
    <row r="34" spans="1:24" ht="30" customHeight="1">
      <c r="A34" s="42" t="s">
        <v>143</v>
      </c>
      <c r="B34" s="42" t="s">
        <v>145</v>
      </c>
      <c r="C34" s="43" t="s">
        <v>377</v>
      </c>
      <c r="D34" s="44" t="s">
        <v>383</v>
      </c>
      <c r="E34" s="45">
        <v>44098</v>
      </c>
      <c r="F34" s="43" t="s">
        <v>384</v>
      </c>
      <c r="G34" s="45">
        <v>44462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330</v>
      </c>
      <c r="Q34" s="46">
        <v>2510</v>
      </c>
      <c r="R34" s="46">
        <v>0</v>
      </c>
      <c r="S34" s="46">
        <v>0</v>
      </c>
      <c r="T34" s="47">
        <f t="shared" si="3"/>
        <v>2840</v>
      </c>
      <c r="U34" s="17" t="s">
        <v>307</v>
      </c>
      <c r="V34" s="13" t="s">
        <v>121</v>
      </c>
      <c r="X34" s="2" t="s">
        <v>427</v>
      </c>
    </row>
    <row r="35" spans="1:22" ht="30" customHeight="1">
      <c r="A35" s="11" t="s">
        <v>143</v>
      </c>
      <c r="B35" s="11" t="s">
        <v>145</v>
      </c>
      <c r="C35" s="12" t="s">
        <v>188</v>
      </c>
      <c r="D35" s="13" t="s">
        <v>105</v>
      </c>
      <c r="E35" s="14">
        <v>43435</v>
      </c>
      <c r="F35" s="12" t="s">
        <v>75</v>
      </c>
      <c r="G35" s="14">
        <v>44165</v>
      </c>
      <c r="H35" s="15">
        <v>3510</v>
      </c>
      <c r="I35" s="15">
        <v>2820</v>
      </c>
      <c r="J35" s="15">
        <v>1680</v>
      </c>
      <c r="K35" s="15">
        <v>0</v>
      </c>
      <c r="L35" s="40">
        <v>3140</v>
      </c>
      <c r="M35" s="15">
        <v>4440</v>
      </c>
      <c r="N35" s="15">
        <v>4470</v>
      </c>
      <c r="O35" s="15">
        <v>3727.5</v>
      </c>
      <c r="P35" s="15">
        <v>4260</v>
      </c>
      <c r="Q35" s="15">
        <v>4167.5</v>
      </c>
      <c r="R35" s="15">
        <v>3540</v>
      </c>
      <c r="S35" s="40">
        <v>3155.25</v>
      </c>
      <c r="T35" s="59">
        <f t="shared" si="3"/>
        <v>38910.25</v>
      </c>
      <c r="U35" s="17" t="s">
        <v>307</v>
      </c>
      <c r="V35" s="13" t="s">
        <v>121</v>
      </c>
    </row>
    <row r="36" spans="1:22" ht="30" customHeight="1">
      <c r="A36" s="11" t="s">
        <v>143</v>
      </c>
      <c r="B36" s="11" t="s">
        <v>145</v>
      </c>
      <c r="C36" s="12" t="s">
        <v>274</v>
      </c>
      <c r="D36" s="13" t="s">
        <v>275</v>
      </c>
      <c r="E36" s="14">
        <v>43685</v>
      </c>
      <c r="F36" s="12" t="s">
        <v>276</v>
      </c>
      <c r="G36" s="14">
        <v>44050</v>
      </c>
      <c r="H36" s="15">
        <v>47098.1</v>
      </c>
      <c r="I36" s="15">
        <v>51602.3</v>
      </c>
      <c r="J36" s="15">
        <v>44538.4</v>
      </c>
      <c r="K36" s="15">
        <v>43008.8</v>
      </c>
      <c r="L36" s="40">
        <v>54187.3</v>
      </c>
      <c r="M36" s="15">
        <v>85868.27</v>
      </c>
      <c r="N36" s="15">
        <v>54038.05</v>
      </c>
      <c r="O36" s="15">
        <v>54119.2</v>
      </c>
      <c r="P36" s="15">
        <v>91450.77</v>
      </c>
      <c r="Q36" s="15">
        <v>132758.9</v>
      </c>
      <c r="R36" s="15">
        <f>5710.6+5578.35+75006.7</f>
        <v>86295.65</v>
      </c>
      <c r="S36" s="40">
        <f>6369.15+52284.18+5792.15</f>
        <v>64445.48</v>
      </c>
      <c r="T36" s="59">
        <f t="shared" si="3"/>
        <v>809411.22</v>
      </c>
      <c r="U36" s="17" t="s">
        <v>307</v>
      </c>
      <c r="V36" s="13" t="s">
        <v>121</v>
      </c>
    </row>
    <row r="37" spans="1:22" ht="30" customHeight="1">
      <c r="A37" s="11" t="s">
        <v>143</v>
      </c>
      <c r="B37" s="11" t="s">
        <v>145</v>
      </c>
      <c r="C37" s="12" t="s">
        <v>209</v>
      </c>
      <c r="D37" s="13" t="s">
        <v>221</v>
      </c>
      <c r="E37" s="14">
        <v>43497</v>
      </c>
      <c r="F37" s="12" t="s">
        <v>222</v>
      </c>
      <c r="G37" s="14">
        <v>43861</v>
      </c>
      <c r="H37" s="15">
        <v>13989</v>
      </c>
      <c r="I37" s="15">
        <v>12892.5</v>
      </c>
      <c r="J37" s="15">
        <f>7829+7022.5</f>
        <v>14851.5</v>
      </c>
      <c r="K37" s="15">
        <f>9575+4425</f>
        <v>14000</v>
      </c>
      <c r="L37" s="40">
        <v>11627</v>
      </c>
      <c r="M37" s="15">
        <v>13766.5</v>
      </c>
      <c r="N37" s="15">
        <v>12256.5</v>
      </c>
      <c r="O37" s="15">
        <f>8322.5+6640</f>
        <v>14962.5</v>
      </c>
      <c r="P37" s="15">
        <f>7875+5152</f>
        <v>13027</v>
      </c>
      <c r="Q37" s="15">
        <f>5492.5+4572+450</f>
        <v>10514.5</v>
      </c>
      <c r="R37" s="15">
        <f>7070+7140</f>
        <v>14210</v>
      </c>
      <c r="S37" s="40">
        <f>4347+6660</f>
        <v>11007</v>
      </c>
      <c r="T37" s="59">
        <f t="shared" si="3"/>
        <v>157104</v>
      </c>
      <c r="U37" s="17" t="s">
        <v>307</v>
      </c>
      <c r="V37" s="13" t="s">
        <v>121</v>
      </c>
    </row>
    <row r="38" spans="1:22" ht="30" customHeight="1">
      <c r="A38" s="11" t="s">
        <v>143</v>
      </c>
      <c r="B38" s="11" t="s">
        <v>145</v>
      </c>
      <c r="C38" s="12" t="s">
        <v>422</v>
      </c>
      <c r="D38" s="13" t="s">
        <v>335</v>
      </c>
      <c r="E38" s="14">
        <v>43867</v>
      </c>
      <c r="F38" s="12" t="s">
        <v>76</v>
      </c>
      <c r="G38" s="14">
        <v>44232</v>
      </c>
      <c r="H38" s="15">
        <v>0</v>
      </c>
      <c r="I38" s="15">
        <v>2120.4</v>
      </c>
      <c r="J38" s="15">
        <v>2587.2</v>
      </c>
      <c r="K38" s="15">
        <v>2827.2</v>
      </c>
      <c r="L38" s="40">
        <v>2587.2</v>
      </c>
      <c r="M38" s="15">
        <v>2240.4</v>
      </c>
      <c r="N38" s="15">
        <v>2987.2</v>
      </c>
      <c r="O38" s="15">
        <v>2612.2</v>
      </c>
      <c r="P38" s="15">
        <v>4774.4</v>
      </c>
      <c r="Q38" s="15">
        <v>2612.2</v>
      </c>
      <c r="R38" s="15">
        <v>2607.2</v>
      </c>
      <c r="S38" s="40">
        <v>1922.4</v>
      </c>
      <c r="T38" s="59">
        <f t="shared" si="3"/>
        <v>29878</v>
      </c>
      <c r="U38" s="17" t="s">
        <v>307</v>
      </c>
      <c r="V38" s="13" t="s">
        <v>121</v>
      </c>
    </row>
    <row r="39" spans="1:22" ht="30" customHeight="1">
      <c r="A39" s="11" t="s">
        <v>143</v>
      </c>
      <c r="B39" s="11" t="s">
        <v>145</v>
      </c>
      <c r="C39" s="12" t="s">
        <v>189</v>
      </c>
      <c r="D39" s="13" t="s">
        <v>160</v>
      </c>
      <c r="E39" s="14">
        <v>43435</v>
      </c>
      <c r="F39" s="12" t="s">
        <v>70</v>
      </c>
      <c r="G39" s="14">
        <v>44165</v>
      </c>
      <c r="H39" s="15">
        <v>10435</v>
      </c>
      <c r="I39" s="15">
        <v>8545</v>
      </c>
      <c r="J39" s="15">
        <v>8760</v>
      </c>
      <c r="K39" s="15">
        <v>5225</v>
      </c>
      <c r="L39" s="40">
        <v>11025</v>
      </c>
      <c r="M39" s="15">
        <v>11850</v>
      </c>
      <c r="N39" s="15">
        <v>9925</v>
      </c>
      <c r="O39" s="15">
        <v>11865</v>
      </c>
      <c r="P39" s="15">
        <v>11510</v>
      </c>
      <c r="Q39" s="15">
        <v>10980</v>
      </c>
      <c r="R39" s="15">
        <v>9735</v>
      </c>
      <c r="S39" s="40">
        <v>7405</v>
      </c>
      <c r="T39" s="59">
        <f t="shared" si="3"/>
        <v>117260</v>
      </c>
      <c r="U39" s="17" t="s">
        <v>307</v>
      </c>
      <c r="V39" s="13" t="s">
        <v>121</v>
      </c>
    </row>
    <row r="40" spans="1:22" ht="30" customHeight="1">
      <c r="A40" s="11" t="s">
        <v>143</v>
      </c>
      <c r="B40" s="11" t="s">
        <v>145</v>
      </c>
      <c r="C40" s="12" t="s">
        <v>190</v>
      </c>
      <c r="D40" s="23" t="s">
        <v>42</v>
      </c>
      <c r="E40" s="14">
        <v>43435</v>
      </c>
      <c r="F40" s="12" t="s">
        <v>151</v>
      </c>
      <c r="G40" s="14">
        <v>44165</v>
      </c>
      <c r="H40" s="15">
        <v>9535</v>
      </c>
      <c r="I40" s="15">
        <v>7840</v>
      </c>
      <c r="J40" s="15">
        <f>6765+757.5</f>
        <v>7522.5</v>
      </c>
      <c r="K40" s="15">
        <f>6645+910</f>
        <v>7555</v>
      </c>
      <c r="L40" s="40">
        <v>9265</v>
      </c>
      <c r="M40" s="15">
        <v>9812.5</v>
      </c>
      <c r="N40" s="15">
        <v>10765</v>
      </c>
      <c r="O40" s="15">
        <f>895+9740</f>
        <v>10635</v>
      </c>
      <c r="P40" s="15">
        <f>1130+9680</f>
        <v>10810</v>
      </c>
      <c r="Q40" s="15">
        <f>6690+925</f>
        <v>7615</v>
      </c>
      <c r="R40" s="15">
        <f>880+6675</f>
        <v>7555</v>
      </c>
      <c r="S40" s="40">
        <f>7210+880</f>
        <v>8090</v>
      </c>
      <c r="T40" s="59">
        <f t="shared" si="3"/>
        <v>107000</v>
      </c>
      <c r="U40" s="17" t="s">
        <v>307</v>
      </c>
      <c r="V40" s="23" t="s">
        <v>121</v>
      </c>
    </row>
    <row r="41" spans="1:22" ht="30" customHeight="1">
      <c r="A41" s="11" t="s">
        <v>143</v>
      </c>
      <c r="B41" s="11" t="s">
        <v>145</v>
      </c>
      <c r="C41" s="12" t="s">
        <v>339</v>
      </c>
      <c r="D41" s="23" t="s">
        <v>344</v>
      </c>
      <c r="E41" s="14">
        <v>43911</v>
      </c>
      <c r="F41" s="12" t="s">
        <v>284</v>
      </c>
      <c r="G41" s="14">
        <v>44275</v>
      </c>
      <c r="H41" s="15">
        <v>0</v>
      </c>
      <c r="I41" s="15">
        <v>0</v>
      </c>
      <c r="J41" s="15">
        <f>3400+340</f>
        <v>3740</v>
      </c>
      <c r="K41" s="15">
        <v>2640</v>
      </c>
      <c r="L41" s="40">
        <v>2640</v>
      </c>
      <c r="M41" s="15">
        <v>11880</v>
      </c>
      <c r="N41" s="15">
        <v>13750</v>
      </c>
      <c r="O41" s="15">
        <v>2800</v>
      </c>
      <c r="P41" s="15">
        <v>6330</v>
      </c>
      <c r="Q41" s="15">
        <v>5720</v>
      </c>
      <c r="R41" s="15">
        <v>5280</v>
      </c>
      <c r="S41" s="40">
        <v>10633.33</v>
      </c>
      <c r="T41" s="59">
        <f t="shared" si="3"/>
        <v>65413.33</v>
      </c>
      <c r="U41" s="17" t="s">
        <v>307</v>
      </c>
      <c r="V41" s="23" t="s">
        <v>121</v>
      </c>
    </row>
    <row r="42" spans="1:22" ht="30" customHeight="1">
      <c r="A42" s="11" t="s">
        <v>143</v>
      </c>
      <c r="B42" s="11" t="s">
        <v>145</v>
      </c>
      <c r="C42" s="12" t="s">
        <v>225</v>
      </c>
      <c r="D42" s="13" t="s">
        <v>176</v>
      </c>
      <c r="E42" s="14">
        <v>43435</v>
      </c>
      <c r="F42" s="12" t="s">
        <v>177</v>
      </c>
      <c r="G42" s="14">
        <v>44165</v>
      </c>
      <c r="H42" s="15">
        <v>22612.5</v>
      </c>
      <c r="I42" s="15">
        <v>16275</v>
      </c>
      <c r="J42" s="15">
        <v>17750</v>
      </c>
      <c r="K42" s="15">
        <v>16002.5</v>
      </c>
      <c r="L42" s="40">
        <v>19030</v>
      </c>
      <c r="M42" s="15">
        <v>20855</v>
      </c>
      <c r="N42" s="15">
        <v>15665</v>
      </c>
      <c r="O42" s="15">
        <v>25435</v>
      </c>
      <c r="P42" s="15">
        <v>21887.5</v>
      </c>
      <c r="Q42" s="15">
        <v>19227.5</v>
      </c>
      <c r="R42" s="15">
        <v>18697.5</v>
      </c>
      <c r="S42" s="40">
        <v>16510</v>
      </c>
      <c r="T42" s="59">
        <f t="shared" si="3"/>
        <v>229947.5</v>
      </c>
      <c r="U42" s="17" t="s">
        <v>307</v>
      </c>
      <c r="V42" s="13" t="s">
        <v>121</v>
      </c>
    </row>
    <row r="43" spans="1:22" ht="30" customHeight="1">
      <c r="A43" s="11" t="s">
        <v>143</v>
      </c>
      <c r="B43" s="11" t="s">
        <v>145</v>
      </c>
      <c r="C43" s="12" t="s">
        <v>224</v>
      </c>
      <c r="D43" s="23" t="s">
        <v>45</v>
      </c>
      <c r="E43" s="14">
        <v>43435</v>
      </c>
      <c r="F43" s="12" t="s">
        <v>73</v>
      </c>
      <c r="G43" s="14">
        <v>44165</v>
      </c>
      <c r="H43" s="15">
        <v>1980</v>
      </c>
      <c r="I43" s="15">
        <v>1980</v>
      </c>
      <c r="J43" s="15">
        <v>1200</v>
      </c>
      <c r="K43" s="15">
        <v>0</v>
      </c>
      <c r="L43" s="40">
        <v>1320</v>
      </c>
      <c r="M43" s="15">
        <v>1980</v>
      </c>
      <c r="N43" s="15">
        <v>1980</v>
      </c>
      <c r="O43" s="15">
        <v>1980</v>
      </c>
      <c r="P43" s="15">
        <v>1320</v>
      </c>
      <c r="Q43" s="15">
        <v>1800</v>
      </c>
      <c r="R43" s="15">
        <v>1980</v>
      </c>
      <c r="S43" s="40">
        <v>2007.5</v>
      </c>
      <c r="T43" s="59">
        <f t="shared" si="3"/>
        <v>19527.5</v>
      </c>
      <c r="U43" s="17" t="s">
        <v>307</v>
      </c>
      <c r="V43" s="23" t="s">
        <v>121</v>
      </c>
    </row>
    <row r="44" spans="1:22" s="52" customFormat="1" ht="30" customHeight="1">
      <c r="A44" s="42" t="s">
        <v>336</v>
      </c>
      <c r="B44" s="42" t="s">
        <v>145</v>
      </c>
      <c r="C44" s="43" t="s">
        <v>226</v>
      </c>
      <c r="D44" s="44" t="s">
        <v>107</v>
      </c>
      <c r="E44" s="45">
        <v>43435</v>
      </c>
      <c r="F44" s="43" t="s">
        <v>117</v>
      </c>
      <c r="G44" s="45">
        <v>44165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7">
        <f t="shared" si="3"/>
        <v>0</v>
      </c>
      <c r="U44" s="48" t="s">
        <v>307</v>
      </c>
      <c r="V44" s="44" t="s">
        <v>121</v>
      </c>
    </row>
    <row r="45" spans="1:22" ht="30" customHeight="1">
      <c r="A45" s="11" t="s">
        <v>143</v>
      </c>
      <c r="B45" s="11" t="s">
        <v>145</v>
      </c>
      <c r="C45" s="12" t="s">
        <v>227</v>
      </c>
      <c r="D45" s="23" t="s">
        <v>43</v>
      </c>
      <c r="E45" s="14">
        <v>43435</v>
      </c>
      <c r="F45" s="12" t="s">
        <v>69</v>
      </c>
      <c r="G45" s="14">
        <v>44165</v>
      </c>
      <c r="H45" s="15">
        <v>12945</v>
      </c>
      <c r="I45" s="15">
        <v>14305</v>
      </c>
      <c r="J45" s="15">
        <f>5620+4955</f>
        <v>10575</v>
      </c>
      <c r="K45" s="15">
        <f>3900+4087.5</f>
        <v>7987.5</v>
      </c>
      <c r="L45" s="40">
        <v>5370</v>
      </c>
      <c r="M45" s="15">
        <v>4330</v>
      </c>
      <c r="N45" s="15">
        <v>6125</v>
      </c>
      <c r="O45" s="15">
        <f>355+5530</f>
        <v>5885</v>
      </c>
      <c r="P45" s="15">
        <f>580+5710</f>
        <v>6290</v>
      </c>
      <c r="Q45" s="15">
        <f>3235+5510</f>
        <v>8745</v>
      </c>
      <c r="R45" s="15">
        <f>9882.5+4900</f>
        <v>14782.5</v>
      </c>
      <c r="S45" s="40">
        <f>2400+9544.16</f>
        <v>11944.16</v>
      </c>
      <c r="T45" s="59">
        <f t="shared" si="3"/>
        <v>109284.16</v>
      </c>
      <c r="U45" s="17" t="s">
        <v>307</v>
      </c>
      <c r="V45" s="23" t="s">
        <v>121</v>
      </c>
    </row>
    <row r="46" spans="1:22" ht="30" customHeight="1">
      <c r="A46" s="11" t="s">
        <v>143</v>
      </c>
      <c r="B46" s="11" t="s">
        <v>145</v>
      </c>
      <c r="C46" s="12" t="s">
        <v>228</v>
      </c>
      <c r="D46" s="13" t="s">
        <v>175</v>
      </c>
      <c r="E46" s="14">
        <v>43435</v>
      </c>
      <c r="F46" s="12" t="s">
        <v>82</v>
      </c>
      <c r="G46" s="14">
        <v>44165</v>
      </c>
      <c r="H46" s="15">
        <v>7393.33</v>
      </c>
      <c r="I46" s="15">
        <v>9100</v>
      </c>
      <c r="J46" s="15">
        <v>4700</v>
      </c>
      <c r="K46" s="15">
        <v>500</v>
      </c>
      <c r="L46" s="40">
        <v>4240</v>
      </c>
      <c r="M46" s="15">
        <v>16120</v>
      </c>
      <c r="N46" s="15">
        <v>14066.67</v>
      </c>
      <c r="O46" s="15">
        <v>14543.33</v>
      </c>
      <c r="P46" s="15">
        <v>15276.67</v>
      </c>
      <c r="Q46" s="15">
        <v>13553.33</v>
      </c>
      <c r="R46" s="15">
        <v>14250</v>
      </c>
      <c r="S46" s="40">
        <v>8603.33</v>
      </c>
      <c r="T46" s="59">
        <f t="shared" si="3"/>
        <v>122346.66</v>
      </c>
      <c r="U46" s="17" t="s">
        <v>307</v>
      </c>
      <c r="V46" s="13" t="s">
        <v>121</v>
      </c>
    </row>
    <row r="47" spans="1:22" ht="30" customHeight="1">
      <c r="A47" s="11" t="s">
        <v>143</v>
      </c>
      <c r="B47" s="11" t="s">
        <v>145</v>
      </c>
      <c r="C47" s="12" t="s">
        <v>229</v>
      </c>
      <c r="D47" s="13" t="s">
        <v>46</v>
      </c>
      <c r="E47" s="14">
        <v>43435</v>
      </c>
      <c r="F47" s="12" t="s">
        <v>76</v>
      </c>
      <c r="G47" s="14">
        <v>44165</v>
      </c>
      <c r="H47" s="15">
        <v>4175.83</v>
      </c>
      <c r="I47" s="15">
        <v>5199.99</v>
      </c>
      <c r="J47" s="15">
        <f>880+3299.99</f>
        <v>4179.99</v>
      </c>
      <c r="K47" s="15">
        <v>0</v>
      </c>
      <c r="L47" s="40">
        <v>4399.99</v>
      </c>
      <c r="M47" s="15">
        <v>4799.99</v>
      </c>
      <c r="N47" s="15">
        <v>4799.99</v>
      </c>
      <c r="O47" s="15">
        <f>4399.99+400</f>
        <v>4799.99</v>
      </c>
      <c r="P47" s="15">
        <f>455+4399.99</f>
        <v>4854.99</v>
      </c>
      <c r="Q47" s="15">
        <f>4399.99+400</f>
        <v>4799.99</v>
      </c>
      <c r="R47" s="15">
        <f>440+4399.99</f>
        <v>4839.99</v>
      </c>
      <c r="S47" s="40">
        <f>4033.33+440</f>
        <v>4473.33</v>
      </c>
      <c r="T47" s="59">
        <f t="shared" si="3"/>
        <v>51324.06999999999</v>
      </c>
      <c r="U47" s="17" t="s">
        <v>307</v>
      </c>
      <c r="V47" s="13" t="s">
        <v>121</v>
      </c>
    </row>
    <row r="48" spans="1:22" ht="30" customHeight="1">
      <c r="A48" s="11" t="s">
        <v>143</v>
      </c>
      <c r="B48" s="11" t="s">
        <v>145</v>
      </c>
      <c r="C48" s="12" t="s">
        <v>230</v>
      </c>
      <c r="D48" s="13" t="s">
        <v>153</v>
      </c>
      <c r="E48" s="14">
        <v>43435</v>
      </c>
      <c r="F48" s="12" t="s">
        <v>154</v>
      </c>
      <c r="G48" s="14">
        <v>44165</v>
      </c>
      <c r="H48" s="15">
        <v>18176.5</v>
      </c>
      <c r="I48" s="15">
        <v>17996.5</v>
      </c>
      <c r="J48" s="15">
        <v>16848</v>
      </c>
      <c r="K48" s="15">
        <v>16838</v>
      </c>
      <c r="L48" s="40">
        <v>19248</v>
      </c>
      <c r="M48" s="15">
        <v>24073</v>
      </c>
      <c r="N48" s="15">
        <v>18476.5</v>
      </c>
      <c r="O48" s="15">
        <v>19565.5</v>
      </c>
      <c r="P48" s="15">
        <v>20735.5</v>
      </c>
      <c r="Q48" s="15">
        <v>32613.5</v>
      </c>
      <c r="R48" s="15">
        <v>27386.5</v>
      </c>
      <c r="S48" s="40">
        <v>34351.5</v>
      </c>
      <c r="T48" s="59">
        <f t="shared" si="3"/>
        <v>266309</v>
      </c>
      <c r="U48" s="17" t="s">
        <v>307</v>
      </c>
      <c r="V48" s="13" t="s">
        <v>121</v>
      </c>
    </row>
    <row r="49" spans="1:22" ht="30" customHeight="1">
      <c r="A49" s="11" t="s">
        <v>143</v>
      </c>
      <c r="B49" s="11" t="s">
        <v>145</v>
      </c>
      <c r="C49" s="12" t="s">
        <v>231</v>
      </c>
      <c r="D49" s="13" t="s">
        <v>44</v>
      </c>
      <c r="E49" s="14">
        <v>43435</v>
      </c>
      <c r="F49" s="12" t="s">
        <v>115</v>
      </c>
      <c r="G49" s="14">
        <v>44165</v>
      </c>
      <c r="H49" s="15">
        <v>700</v>
      </c>
      <c r="I49" s="15">
        <v>200</v>
      </c>
      <c r="J49" s="15">
        <v>300</v>
      </c>
      <c r="K49" s="15">
        <v>0</v>
      </c>
      <c r="L49" s="40">
        <v>1225</v>
      </c>
      <c r="M49" s="15">
        <v>975</v>
      </c>
      <c r="N49" s="15">
        <v>1571.8</v>
      </c>
      <c r="O49" s="15">
        <f>975+821.8</f>
        <v>1796.8</v>
      </c>
      <c r="P49" s="15">
        <f>1596.8+1325</f>
        <v>2921.8</v>
      </c>
      <c r="Q49" s="15">
        <f>1046.8+875</f>
        <v>1921.8</v>
      </c>
      <c r="R49" s="15">
        <f>760+1006.8</f>
        <v>1766.8</v>
      </c>
      <c r="S49" s="40">
        <f>790+1535</f>
        <v>2325</v>
      </c>
      <c r="T49" s="59">
        <f t="shared" si="3"/>
        <v>15704</v>
      </c>
      <c r="U49" s="17" t="s">
        <v>307</v>
      </c>
      <c r="V49" s="13" t="s">
        <v>121</v>
      </c>
    </row>
    <row r="50" spans="1:22" ht="30" customHeight="1">
      <c r="A50" s="11" t="s">
        <v>143</v>
      </c>
      <c r="B50" s="11" t="s">
        <v>145</v>
      </c>
      <c r="C50" s="12" t="s">
        <v>294</v>
      </c>
      <c r="D50" s="13" t="s">
        <v>295</v>
      </c>
      <c r="E50" s="14">
        <v>43802</v>
      </c>
      <c r="F50" s="12" t="s">
        <v>75</v>
      </c>
      <c r="G50" s="14">
        <v>44167</v>
      </c>
      <c r="H50" s="15">
        <v>10067.5</v>
      </c>
      <c r="I50" s="15">
        <v>9467.5</v>
      </c>
      <c r="J50" s="15">
        <v>11337.5</v>
      </c>
      <c r="K50" s="15">
        <v>8112.5</v>
      </c>
      <c r="L50" s="40">
        <v>11192.5</v>
      </c>
      <c r="M50" s="15">
        <v>13355</v>
      </c>
      <c r="N50" s="15">
        <v>11497.5</v>
      </c>
      <c r="O50" s="15">
        <v>14010</v>
      </c>
      <c r="P50" s="15">
        <v>12792.5</v>
      </c>
      <c r="Q50" s="15">
        <v>18367.5</v>
      </c>
      <c r="R50" s="15">
        <v>12622.5</v>
      </c>
      <c r="S50" s="40">
        <v>10890</v>
      </c>
      <c r="T50" s="59">
        <f t="shared" si="3"/>
        <v>143712.5</v>
      </c>
      <c r="U50" s="17" t="s">
        <v>307</v>
      </c>
      <c r="V50" s="13" t="s">
        <v>121</v>
      </c>
    </row>
    <row r="51" spans="1:22" ht="30" customHeight="1">
      <c r="A51" s="11" t="s">
        <v>143</v>
      </c>
      <c r="B51" s="11" t="s">
        <v>145</v>
      </c>
      <c r="C51" s="12" t="s">
        <v>232</v>
      </c>
      <c r="D51" s="13" t="s">
        <v>47</v>
      </c>
      <c r="E51" s="14">
        <v>43435</v>
      </c>
      <c r="F51" s="12" t="s">
        <v>75</v>
      </c>
      <c r="G51" s="14">
        <v>44165</v>
      </c>
      <c r="H51" s="15">
        <v>14307.5</v>
      </c>
      <c r="I51" s="15">
        <v>15952.5</v>
      </c>
      <c r="J51" s="15">
        <f>14220+765</f>
        <v>14985</v>
      </c>
      <c r="K51" s="15">
        <v>7632.5</v>
      </c>
      <c r="L51" s="40">
        <v>15890</v>
      </c>
      <c r="M51" s="15">
        <v>20000</v>
      </c>
      <c r="N51" s="15">
        <v>20025</v>
      </c>
      <c r="O51" s="15">
        <v>20127.5</v>
      </c>
      <c r="P51" s="15">
        <v>20170</v>
      </c>
      <c r="Q51" s="15">
        <v>21882.5</v>
      </c>
      <c r="R51" s="15">
        <v>20325</v>
      </c>
      <c r="S51" s="40">
        <v>17130</v>
      </c>
      <c r="T51" s="59">
        <f t="shared" si="3"/>
        <v>208427.5</v>
      </c>
      <c r="U51" s="17" t="s">
        <v>307</v>
      </c>
      <c r="V51" s="13" t="s">
        <v>121</v>
      </c>
    </row>
    <row r="52" spans="1:22" ht="30" customHeight="1">
      <c r="A52" s="11" t="s">
        <v>143</v>
      </c>
      <c r="B52" s="11" t="s">
        <v>145</v>
      </c>
      <c r="C52" s="12" t="s">
        <v>292</v>
      </c>
      <c r="D52" s="13" t="s">
        <v>297</v>
      </c>
      <c r="E52" s="14">
        <v>43780</v>
      </c>
      <c r="F52" s="12" t="s">
        <v>298</v>
      </c>
      <c r="G52" s="14">
        <v>44145</v>
      </c>
      <c r="H52" s="15">
        <v>35554.8</v>
      </c>
      <c r="I52" s="15">
        <v>31407.6</v>
      </c>
      <c r="J52" s="15">
        <v>35394.8</v>
      </c>
      <c r="K52" s="15">
        <v>0</v>
      </c>
      <c r="L52" s="40">
        <v>20250.4</v>
      </c>
      <c r="M52" s="15">
        <v>38334.8</v>
      </c>
      <c r="N52" s="15">
        <v>30077.6</v>
      </c>
      <c r="O52" s="15">
        <v>29957.6</v>
      </c>
      <c r="P52" s="15">
        <v>33727.6</v>
      </c>
      <c r="Q52" s="15">
        <v>22333.2</v>
      </c>
      <c r="R52" s="15">
        <v>28657.6</v>
      </c>
      <c r="S52" s="40">
        <v>22973.2</v>
      </c>
      <c r="T52" s="59">
        <f t="shared" si="3"/>
        <v>328669.2</v>
      </c>
      <c r="U52" s="17" t="s">
        <v>307</v>
      </c>
      <c r="V52" s="13" t="s">
        <v>121</v>
      </c>
    </row>
    <row r="53" spans="1:22" ht="30" customHeight="1">
      <c r="A53" s="11" t="s">
        <v>143</v>
      </c>
      <c r="B53" s="11" t="s">
        <v>145</v>
      </c>
      <c r="C53" s="12" t="s">
        <v>407</v>
      </c>
      <c r="D53" s="13" t="s">
        <v>408</v>
      </c>
      <c r="E53" s="14">
        <v>44114</v>
      </c>
      <c r="F53" s="12" t="s">
        <v>409</v>
      </c>
      <c r="G53" s="14">
        <v>44478</v>
      </c>
      <c r="H53" s="15">
        <v>0</v>
      </c>
      <c r="I53" s="15">
        <v>0</v>
      </c>
      <c r="J53" s="15">
        <v>0</v>
      </c>
      <c r="K53" s="15">
        <v>0</v>
      </c>
      <c r="L53" s="40">
        <v>0</v>
      </c>
      <c r="M53" s="15">
        <v>0</v>
      </c>
      <c r="N53" s="15">
        <v>0</v>
      </c>
      <c r="O53" s="15">
        <v>0</v>
      </c>
      <c r="P53" s="15">
        <v>0</v>
      </c>
      <c r="Q53" s="15">
        <v>751.9</v>
      </c>
      <c r="R53" s="15">
        <v>712.1</v>
      </c>
      <c r="S53" s="40">
        <v>629.6</v>
      </c>
      <c r="T53" s="59">
        <f t="shared" si="3"/>
        <v>2093.6</v>
      </c>
      <c r="U53" s="17" t="s">
        <v>307</v>
      </c>
      <c r="V53" s="13" t="s">
        <v>121</v>
      </c>
    </row>
    <row r="54" spans="1:22" ht="30" customHeight="1">
      <c r="A54" s="11" t="s">
        <v>143</v>
      </c>
      <c r="B54" s="11" t="s">
        <v>145</v>
      </c>
      <c r="C54" s="12" t="s">
        <v>136</v>
      </c>
      <c r="D54" s="13" t="s">
        <v>137</v>
      </c>
      <c r="E54" s="14">
        <v>43435</v>
      </c>
      <c r="F54" s="12" t="s">
        <v>139</v>
      </c>
      <c r="G54" s="14">
        <v>44165</v>
      </c>
      <c r="H54" s="15">
        <v>5805</v>
      </c>
      <c r="I54" s="15">
        <v>8715</v>
      </c>
      <c r="J54" s="15">
        <v>5720</v>
      </c>
      <c r="K54" s="15">
        <v>6250</v>
      </c>
      <c r="L54" s="40">
        <v>11540</v>
      </c>
      <c r="M54" s="15">
        <v>13170</v>
      </c>
      <c r="N54" s="15">
        <v>9647.5</v>
      </c>
      <c r="O54" s="15">
        <v>8100</v>
      </c>
      <c r="P54" s="15">
        <v>9005</v>
      </c>
      <c r="Q54" s="15">
        <v>9195</v>
      </c>
      <c r="R54" s="15">
        <v>7990</v>
      </c>
      <c r="S54" s="40">
        <v>8372.5</v>
      </c>
      <c r="T54" s="59">
        <f t="shared" si="3"/>
        <v>103510</v>
      </c>
      <c r="U54" s="17" t="s">
        <v>307</v>
      </c>
      <c r="V54" s="13" t="s">
        <v>121</v>
      </c>
    </row>
    <row r="55" spans="1:22" ht="30" customHeight="1">
      <c r="A55" s="11" t="s">
        <v>143</v>
      </c>
      <c r="B55" s="11" t="s">
        <v>145</v>
      </c>
      <c r="C55" s="12" t="s">
        <v>233</v>
      </c>
      <c r="D55" s="23" t="s">
        <v>48</v>
      </c>
      <c r="E55" s="14">
        <v>43435</v>
      </c>
      <c r="F55" s="12" t="s">
        <v>69</v>
      </c>
      <c r="G55" s="14">
        <v>44165</v>
      </c>
      <c r="H55" s="15">
        <v>9530</v>
      </c>
      <c r="I55" s="15">
        <v>3640</v>
      </c>
      <c r="J55" s="15">
        <v>2570</v>
      </c>
      <c r="K55" s="15">
        <v>2620</v>
      </c>
      <c r="L55" s="40">
        <v>3250</v>
      </c>
      <c r="M55" s="15">
        <v>5850</v>
      </c>
      <c r="N55" s="15">
        <v>3670</v>
      </c>
      <c r="O55" s="15">
        <v>4140</v>
      </c>
      <c r="P55" s="15">
        <v>5160</v>
      </c>
      <c r="Q55" s="15">
        <v>3990</v>
      </c>
      <c r="R55" s="15">
        <v>3540</v>
      </c>
      <c r="S55" s="40">
        <v>1260</v>
      </c>
      <c r="T55" s="59">
        <f t="shared" si="3"/>
        <v>49220</v>
      </c>
      <c r="U55" s="17" t="s">
        <v>307</v>
      </c>
      <c r="V55" s="23" t="s">
        <v>121</v>
      </c>
    </row>
    <row r="56" spans="1:22" ht="30" customHeight="1">
      <c r="A56" s="11" t="s">
        <v>143</v>
      </c>
      <c r="B56" s="11" t="s">
        <v>145</v>
      </c>
      <c r="C56" s="12" t="s">
        <v>279</v>
      </c>
      <c r="D56" s="23" t="s">
        <v>280</v>
      </c>
      <c r="E56" s="14">
        <v>43320</v>
      </c>
      <c r="F56" s="12" t="s">
        <v>281</v>
      </c>
      <c r="G56" s="14">
        <v>44050</v>
      </c>
      <c r="H56" s="15">
        <v>3520</v>
      </c>
      <c r="I56" s="15">
        <v>2970</v>
      </c>
      <c r="J56" s="15">
        <v>4400</v>
      </c>
      <c r="K56" s="15">
        <v>2640</v>
      </c>
      <c r="L56" s="40">
        <v>4400</v>
      </c>
      <c r="M56" s="15">
        <v>6655</v>
      </c>
      <c r="N56" s="15">
        <v>4400</v>
      </c>
      <c r="O56" s="15">
        <v>4400</v>
      </c>
      <c r="P56" s="15">
        <v>5555</v>
      </c>
      <c r="Q56" s="15">
        <v>4400</v>
      </c>
      <c r="R56" s="15">
        <v>4400</v>
      </c>
      <c r="S56" s="40">
        <v>3355</v>
      </c>
      <c r="T56" s="59">
        <f t="shared" si="3"/>
        <v>51095</v>
      </c>
      <c r="U56" s="17" t="s">
        <v>307</v>
      </c>
      <c r="V56" s="23" t="s">
        <v>121</v>
      </c>
    </row>
    <row r="57" spans="1:22" ht="30" customHeight="1">
      <c r="A57" s="11" t="s">
        <v>143</v>
      </c>
      <c r="B57" s="11" t="s">
        <v>145</v>
      </c>
      <c r="C57" s="12" t="s">
        <v>371</v>
      </c>
      <c r="D57" s="23"/>
      <c r="E57" s="14"/>
      <c r="F57" s="12"/>
      <c r="G57" s="14"/>
      <c r="H57" s="15"/>
      <c r="I57" s="15"/>
      <c r="J57" s="15"/>
      <c r="K57" s="15"/>
      <c r="L57" s="40"/>
      <c r="M57" s="15"/>
      <c r="N57" s="15">
        <v>0</v>
      </c>
      <c r="O57" s="15">
        <v>2375</v>
      </c>
      <c r="P57" s="15">
        <v>2900</v>
      </c>
      <c r="Q57" s="15">
        <v>2450</v>
      </c>
      <c r="R57" s="15">
        <v>2312.5</v>
      </c>
      <c r="S57" s="40">
        <v>1650</v>
      </c>
      <c r="T57" s="59">
        <f t="shared" si="3"/>
        <v>11687.5</v>
      </c>
      <c r="U57" s="17" t="s">
        <v>307</v>
      </c>
      <c r="V57" s="23" t="s">
        <v>121</v>
      </c>
    </row>
    <row r="58" spans="1:22" ht="30" customHeight="1">
      <c r="A58" s="11" t="s">
        <v>143</v>
      </c>
      <c r="B58" s="11" t="s">
        <v>145</v>
      </c>
      <c r="C58" s="12" t="s">
        <v>234</v>
      </c>
      <c r="D58" s="13" t="s">
        <v>158</v>
      </c>
      <c r="E58" s="14">
        <v>43435</v>
      </c>
      <c r="F58" s="12" t="s">
        <v>82</v>
      </c>
      <c r="G58" s="14">
        <v>43889</v>
      </c>
      <c r="H58" s="15">
        <v>5756.67</v>
      </c>
      <c r="I58" s="15">
        <v>5720</v>
      </c>
      <c r="J58" s="15">
        <v>6160</v>
      </c>
      <c r="K58" s="15">
        <v>6160</v>
      </c>
      <c r="L58" s="40">
        <v>5720</v>
      </c>
      <c r="M58" s="15">
        <v>6160</v>
      </c>
      <c r="N58" s="15">
        <v>6160</v>
      </c>
      <c r="O58" s="15">
        <v>6160</v>
      </c>
      <c r="P58" s="15">
        <v>6600</v>
      </c>
      <c r="Q58" s="15">
        <v>6160</v>
      </c>
      <c r="R58" s="15">
        <v>6233.33</v>
      </c>
      <c r="S58" s="40">
        <v>6600</v>
      </c>
      <c r="T58" s="59">
        <f t="shared" si="3"/>
        <v>73590</v>
      </c>
      <c r="U58" s="17" t="s">
        <v>307</v>
      </c>
      <c r="V58" s="13" t="s">
        <v>121</v>
      </c>
    </row>
    <row r="59" spans="1:22" ht="30" customHeight="1">
      <c r="A59" s="11" t="s">
        <v>143</v>
      </c>
      <c r="B59" s="11" t="s">
        <v>145</v>
      </c>
      <c r="C59" s="12" t="s">
        <v>243</v>
      </c>
      <c r="D59" s="23" t="s">
        <v>49</v>
      </c>
      <c r="E59" s="14">
        <v>43435</v>
      </c>
      <c r="F59" s="12" t="s">
        <v>77</v>
      </c>
      <c r="G59" s="14">
        <v>44165</v>
      </c>
      <c r="H59" s="15">
        <v>18847.5</v>
      </c>
      <c r="I59" s="15">
        <v>18440</v>
      </c>
      <c r="J59" s="15">
        <v>16662.5</v>
      </c>
      <c r="K59" s="15">
        <v>18052.5</v>
      </c>
      <c r="L59" s="40">
        <v>16082.5</v>
      </c>
      <c r="M59" s="15">
        <v>22972.5</v>
      </c>
      <c r="N59" s="15">
        <v>22560</v>
      </c>
      <c r="O59" s="15">
        <v>22265</v>
      </c>
      <c r="P59" s="15">
        <v>23152.5</v>
      </c>
      <c r="Q59" s="15">
        <v>21177.5</v>
      </c>
      <c r="R59" s="15">
        <v>19280</v>
      </c>
      <c r="S59" s="40">
        <v>10127.5</v>
      </c>
      <c r="T59" s="59">
        <f t="shared" si="3"/>
        <v>229620</v>
      </c>
      <c r="U59" s="17" t="s">
        <v>307</v>
      </c>
      <c r="V59" s="23" t="s">
        <v>121</v>
      </c>
    </row>
    <row r="60" spans="1:22" ht="30" customHeight="1">
      <c r="A60" s="11" t="s">
        <v>143</v>
      </c>
      <c r="B60" s="11" t="s">
        <v>145</v>
      </c>
      <c r="C60" s="12" t="s">
        <v>244</v>
      </c>
      <c r="D60" s="13" t="s">
        <v>21</v>
      </c>
      <c r="E60" s="14">
        <v>43435</v>
      </c>
      <c r="F60" s="12" t="s">
        <v>78</v>
      </c>
      <c r="G60" s="14">
        <v>44165</v>
      </c>
      <c r="H60" s="15">
        <v>51841.5</v>
      </c>
      <c r="I60" s="15">
        <v>51823.5</v>
      </c>
      <c r="J60" s="15">
        <v>32618.4</v>
      </c>
      <c r="K60" s="15">
        <v>11112.5</v>
      </c>
      <c r="L60" s="40">
        <v>33510.1</v>
      </c>
      <c r="M60" s="15">
        <v>49030.9</v>
      </c>
      <c r="N60" s="15">
        <v>43084.8</v>
      </c>
      <c r="O60" s="15">
        <v>33841.6</v>
      </c>
      <c r="P60" s="15">
        <v>42515.1</v>
      </c>
      <c r="Q60" s="15">
        <v>43934.1</v>
      </c>
      <c r="R60" s="15">
        <v>46870.9</v>
      </c>
      <c r="S60" s="40">
        <v>40592.1</v>
      </c>
      <c r="T60" s="59">
        <f t="shared" si="3"/>
        <v>480775.49999999994</v>
      </c>
      <c r="U60" s="17" t="s">
        <v>307</v>
      </c>
      <c r="V60" s="13" t="s">
        <v>121</v>
      </c>
    </row>
    <row r="61" spans="1:22" ht="30" customHeight="1">
      <c r="A61" s="11" t="s">
        <v>143</v>
      </c>
      <c r="B61" s="11" t="s">
        <v>145</v>
      </c>
      <c r="C61" s="12" t="s">
        <v>245</v>
      </c>
      <c r="D61" s="13" t="s">
        <v>164</v>
      </c>
      <c r="E61" s="14">
        <v>43435</v>
      </c>
      <c r="F61" s="12" t="s">
        <v>162</v>
      </c>
      <c r="G61" s="14">
        <v>44165</v>
      </c>
      <c r="H61" s="15">
        <v>4410</v>
      </c>
      <c r="I61" s="15">
        <v>3430</v>
      </c>
      <c r="J61" s="15">
        <v>4830</v>
      </c>
      <c r="K61" s="15">
        <v>5600</v>
      </c>
      <c r="L61" s="40">
        <v>3220</v>
      </c>
      <c r="M61" s="15">
        <v>5040</v>
      </c>
      <c r="N61" s="15">
        <v>5145</v>
      </c>
      <c r="O61" s="15">
        <v>4130</v>
      </c>
      <c r="P61" s="15">
        <v>4375</v>
      </c>
      <c r="Q61" s="15">
        <v>5775</v>
      </c>
      <c r="R61" s="15">
        <v>4480</v>
      </c>
      <c r="S61" s="40">
        <v>2065</v>
      </c>
      <c r="T61" s="59">
        <f t="shared" si="3"/>
        <v>52500</v>
      </c>
      <c r="U61" s="17" t="s">
        <v>307</v>
      </c>
      <c r="V61" s="13" t="s">
        <v>121</v>
      </c>
    </row>
    <row r="62" spans="1:22" ht="30" customHeight="1">
      <c r="A62" s="11" t="s">
        <v>143</v>
      </c>
      <c r="B62" s="11" t="s">
        <v>145</v>
      </c>
      <c r="C62" s="12" t="s">
        <v>369</v>
      </c>
      <c r="D62" s="13"/>
      <c r="E62" s="14"/>
      <c r="F62" s="12"/>
      <c r="G62" s="14">
        <v>44165</v>
      </c>
      <c r="H62" s="15"/>
      <c r="I62" s="15"/>
      <c r="J62" s="15"/>
      <c r="K62" s="15"/>
      <c r="L62" s="40">
        <v>6280</v>
      </c>
      <c r="M62" s="15">
        <v>16440</v>
      </c>
      <c r="N62" s="15">
        <v>11750</v>
      </c>
      <c r="O62" s="15">
        <v>19480</v>
      </c>
      <c r="P62" s="15">
        <v>19570</v>
      </c>
      <c r="Q62" s="15">
        <v>17350</v>
      </c>
      <c r="R62" s="15">
        <v>13230</v>
      </c>
      <c r="S62" s="40">
        <v>14270</v>
      </c>
      <c r="T62" s="59">
        <f t="shared" si="3"/>
        <v>118370</v>
      </c>
      <c r="U62" s="17" t="s">
        <v>307</v>
      </c>
      <c r="V62" s="13" t="s">
        <v>121</v>
      </c>
    </row>
    <row r="63" spans="1:22" ht="30" customHeight="1">
      <c r="A63" s="11" t="s">
        <v>143</v>
      </c>
      <c r="B63" s="11" t="s">
        <v>145</v>
      </c>
      <c r="C63" s="12" t="s">
        <v>246</v>
      </c>
      <c r="D63" s="13" t="s">
        <v>50</v>
      </c>
      <c r="E63" s="14">
        <v>43435</v>
      </c>
      <c r="F63" s="12" t="s">
        <v>79</v>
      </c>
      <c r="G63" s="14">
        <v>44165</v>
      </c>
      <c r="H63" s="15">
        <v>13120</v>
      </c>
      <c r="I63" s="15">
        <v>19255</v>
      </c>
      <c r="J63" s="15">
        <f>7760+11057.5</f>
        <v>18817.5</v>
      </c>
      <c r="K63" s="15">
        <f>6142.5+6370</f>
        <v>12512.5</v>
      </c>
      <c r="L63" s="40">
        <v>15507.5</v>
      </c>
      <c r="M63" s="15">
        <v>24892.5</v>
      </c>
      <c r="N63" s="15">
        <v>17352.5</v>
      </c>
      <c r="O63" s="15">
        <f>12142.5+12867.5</f>
        <v>25010</v>
      </c>
      <c r="P63" s="15">
        <f>11407.5+11512.5</f>
        <v>22920</v>
      </c>
      <c r="Q63" s="15">
        <f>10707.5+10132.5</f>
        <v>20840</v>
      </c>
      <c r="R63" s="15">
        <f>10085+12087.5</f>
        <v>22172.5</v>
      </c>
      <c r="S63" s="40">
        <f>9577.5+9670</f>
        <v>19247.5</v>
      </c>
      <c r="T63" s="59">
        <f t="shared" si="3"/>
        <v>231647.5</v>
      </c>
      <c r="U63" s="17" t="s">
        <v>307</v>
      </c>
      <c r="V63" s="13" t="s">
        <v>121</v>
      </c>
    </row>
    <row r="64" spans="1:22" ht="30" customHeight="1">
      <c r="A64" s="11" t="s">
        <v>143</v>
      </c>
      <c r="B64" s="11" t="s">
        <v>145</v>
      </c>
      <c r="C64" s="12" t="s">
        <v>321</v>
      </c>
      <c r="D64" s="13" t="s">
        <v>322</v>
      </c>
      <c r="E64" s="14">
        <v>43832</v>
      </c>
      <c r="F64" s="12" t="s">
        <v>113</v>
      </c>
      <c r="G64" s="14">
        <v>44197</v>
      </c>
      <c r="H64" s="15">
        <v>1953.2</v>
      </c>
      <c r="I64" s="15">
        <v>2609.2</v>
      </c>
      <c r="J64" s="15">
        <v>2356.2</v>
      </c>
      <c r="K64" s="15">
        <v>2412.2</v>
      </c>
      <c r="L64" s="40">
        <v>1900.2</v>
      </c>
      <c r="M64" s="15">
        <v>1850.2</v>
      </c>
      <c r="N64" s="15">
        <v>2309.2</v>
      </c>
      <c r="O64" s="15">
        <v>2426.2</v>
      </c>
      <c r="P64" s="15">
        <v>2462.2</v>
      </c>
      <c r="Q64" s="15">
        <v>2309.2</v>
      </c>
      <c r="R64" s="15">
        <v>2509.2</v>
      </c>
      <c r="S64" s="40">
        <v>2309.2</v>
      </c>
      <c r="T64" s="59">
        <f t="shared" si="3"/>
        <v>27406.400000000005</v>
      </c>
      <c r="U64" s="17" t="s">
        <v>307</v>
      </c>
      <c r="V64" s="13" t="s">
        <v>121</v>
      </c>
    </row>
    <row r="65" spans="1:22" ht="30" customHeight="1">
      <c r="A65" s="11" t="s">
        <v>143</v>
      </c>
      <c r="B65" s="11" t="s">
        <v>145</v>
      </c>
      <c r="C65" s="12" t="s">
        <v>271</v>
      </c>
      <c r="D65" s="13" t="s">
        <v>285</v>
      </c>
      <c r="E65" s="14">
        <v>43605</v>
      </c>
      <c r="F65" s="12" t="s">
        <v>286</v>
      </c>
      <c r="G65" s="14">
        <v>43970</v>
      </c>
      <c r="H65" s="15">
        <v>1405.2</v>
      </c>
      <c r="I65" s="15">
        <v>1405.2</v>
      </c>
      <c r="J65" s="15">
        <v>3320.4</v>
      </c>
      <c r="K65" s="15">
        <v>642.6</v>
      </c>
      <c r="L65" s="40">
        <v>1405.2</v>
      </c>
      <c r="M65" s="15">
        <v>1405.2</v>
      </c>
      <c r="N65" s="15">
        <v>1405.2</v>
      </c>
      <c r="O65" s="15">
        <v>1405.2</v>
      </c>
      <c r="P65" s="15">
        <v>1405.2</v>
      </c>
      <c r="Q65" s="15">
        <v>0</v>
      </c>
      <c r="R65" s="15">
        <f>1405.2+1405.2</f>
        <v>2810.4</v>
      </c>
      <c r="S65" s="40">
        <v>1405.2</v>
      </c>
      <c r="T65" s="59">
        <f t="shared" si="3"/>
        <v>18015.000000000004</v>
      </c>
      <c r="U65" s="17" t="s">
        <v>307</v>
      </c>
      <c r="V65" s="13" t="s">
        <v>121</v>
      </c>
    </row>
    <row r="66" spans="1:22" ht="30" customHeight="1">
      <c r="A66" s="11" t="s">
        <v>143</v>
      </c>
      <c r="B66" s="11" t="s">
        <v>145</v>
      </c>
      <c r="C66" s="12" t="s">
        <v>247</v>
      </c>
      <c r="D66" s="13" t="s">
        <v>98</v>
      </c>
      <c r="E66" s="14">
        <v>43435</v>
      </c>
      <c r="F66" s="12" t="s">
        <v>110</v>
      </c>
      <c r="G66" s="14">
        <v>44165</v>
      </c>
      <c r="H66" s="15">
        <v>29904</v>
      </c>
      <c r="I66" s="15">
        <v>29904</v>
      </c>
      <c r="J66" s="15">
        <v>28836</v>
      </c>
      <c r="K66" s="15">
        <v>27412</v>
      </c>
      <c r="L66" s="40">
        <v>23140</v>
      </c>
      <c r="M66" s="15">
        <v>29904</v>
      </c>
      <c r="N66" s="15">
        <v>24564</v>
      </c>
      <c r="O66" s="15">
        <v>26700</v>
      </c>
      <c r="P66" s="15">
        <v>27412</v>
      </c>
      <c r="Q66" s="15">
        <v>25632</v>
      </c>
      <c r="R66" s="15">
        <v>27412</v>
      </c>
      <c r="S66" s="40">
        <v>0</v>
      </c>
      <c r="T66" s="59">
        <f t="shared" si="3"/>
        <v>300820</v>
      </c>
      <c r="U66" s="17" t="s">
        <v>307</v>
      </c>
      <c r="V66" s="13" t="s">
        <v>121</v>
      </c>
    </row>
    <row r="67" spans="1:22" ht="30" customHeight="1">
      <c r="A67" s="11" t="s">
        <v>143</v>
      </c>
      <c r="B67" s="11" t="s">
        <v>145</v>
      </c>
      <c r="C67" s="12" t="s">
        <v>248</v>
      </c>
      <c r="D67" s="13" t="s">
        <v>51</v>
      </c>
      <c r="E67" s="14">
        <v>43435</v>
      </c>
      <c r="F67" s="12" t="s">
        <v>80</v>
      </c>
      <c r="G67" s="14">
        <v>44165</v>
      </c>
      <c r="H67" s="15">
        <v>2760</v>
      </c>
      <c r="I67" s="15">
        <v>2910</v>
      </c>
      <c r="J67" s="15">
        <v>3030</v>
      </c>
      <c r="K67" s="15">
        <v>690</v>
      </c>
      <c r="L67" s="40">
        <v>2460</v>
      </c>
      <c r="M67" s="15">
        <v>3270</v>
      </c>
      <c r="N67" s="15">
        <v>1890</v>
      </c>
      <c r="O67" s="15">
        <v>1170</v>
      </c>
      <c r="P67" s="15">
        <v>1470</v>
      </c>
      <c r="Q67" s="15">
        <v>1530</v>
      </c>
      <c r="R67" s="15">
        <v>1289.99</v>
      </c>
      <c r="S67" s="40">
        <v>1050</v>
      </c>
      <c r="T67" s="59">
        <f t="shared" si="3"/>
        <v>23519.99</v>
      </c>
      <c r="U67" s="17" t="s">
        <v>307</v>
      </c>
      <c r="V67" s="13" t="s">
        <v>121</v>
      </c>
    </row>
    <row r="68" spans="1:22" ht="30" customHeight="1">
      <c r="A68" s="11" t="s">
        <v>143</v>
      </c>
      <c r="B68" s="11" t="s">
        <v>145</v>
      </c>
      <c r="C68" s="12" t="s">
        <v>249</v>
      </c>
      <c r="D68" s="13" t="s">
        <v>165</v>
      </c>
      <c r="E68" s="14">
        <v>43435</v>
      </c>
      <c r="F68" s="18" t="s">
        <v>162</v>
      </c>
      <c r="G68" s="14">
        <v>44165</v>
      </c>
      <c r="H68" s="15">
        <v>8625</v>
      </c>
      <c r="I68" s="15">
        <v>7375</v>
      </c>
      <c r="J68" s="15">
        <v>7220</v>
      </c>
      <c r="K68" s="15">
        <v>6100</v>
      </c>
      <c r="L68" s="40">
        <v>6715</v>
      </c>
      <c r="M68" s="15">
        <v>7660</v>
      </c>
      <c r="N68" s="15">
        <v>9865</v>
      </c>
      <c r="O68" s="15">
        <v>8635</v>
      </c>
      <c r="P68" s="15">
        <v>9395</v>
      </c>
      <c r="Q68" s="15">
        <v>7890</v>
      </c>
      <c r="R68" s="15">
        <v>4795</v>
      </c>
      <c r="S68" s="40">
        <v>2210</v>
      </c>
      <c r="T68" s="59">
        <f t="shared" si="3"/>
        <v>86485</v>
      </c>
      <c r="U68" s="17" t="s">
        <v>307</v>
      </c>
      <c r="V68" s="13" t="s">
        <v>121</v>
      </c>
    </row>
    <row r="69" spans="1:24" ht="30" customHeight="1">
      <c r="A69" s="42" t="s">
        <v>143</v>
      </c>
      <c r="B69" s="42" t="s">
        <v>145</v>
      </c>
      <c r="C69" s="43" t="s">
        <v>338</v>
      </c>
      <c r="D69" s="44" t="s">
        <v>345</v>
      </c>
      <c r="E69" s="45">
        <v>43899</v>
      </c>
      <c r="F69" s="43" t="s">
        <v>350</v>
      </c>
      <c r="G69" s="45">
        <v>44263</v>
      </c>
      <c r="H69" s="46">
        <v>0</v>
      </c>
      <c r="I69" s="46">
        <v>0</v>
      </c>
      <c r="J69" s="46">
        <v>687.5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7">
        <f t="shared" si="3"/>
        <v>687.5</v>
      </c>
      <c r="U69" s="17" t="s">
        <v>307</v>
      </c>
      <c r="V69" s="13" t="s">
        <v>121</v>
      </c>
      <c r="X69" s="2" t="s">
        <v>427</v>
      </c>
    </row>
    <row r="70" spans="1:22" ht="30" customHeight="1">
      <c r="A70" s="11" t="s">
        <v>143</v>
      </c>
      <c r="B70" s="11" t="s">
        <v>145</v>
      </c>
      <c r="C70" s="12" t="s">
        <v>250</v>
      </c>
      <c r="D70" s="13" t="s">
        <v>52</v>
      </c>
      <c r="E70" s="14">
        <v>43435</v>
      </c>
      <c r="F70" s="12" t="s">
        <v>72</v>
      </c>
      <c r="G70" s="14">
        <v>44165</v>
      </c>
      <c r="H70" s="15">
        <v>5051.07</v>
      </c>
      <c r="I70" s="15">
        <v>5005.87</v>
      </c>
      <c r="J70" s="15">
        <v>3317.73</v>
      </c>
      <c r="K70" s="15">
        <v>4305.87</v>
      </c>
      <c r="L70" s="40">
        <v>2582.73</v>
      </c>
      <c r="M70" s="15">
        <v>4762.53</v>
      </c>
      <c r="N70" s="15">
        <v>8114</v>
      </c>
      <c r="O70" s="15">
        <v>8003.8</v>
      </c>
      <c r="P70" s="15">
        <v>8693.8</v>
      </c>
      <c r="Q70" s="15">
        <v>8518.8</v>
      </c>
      <c r="R70" s="15">
        <v>10413.6</v>
      </c>
      <c r="S70" s="40">
        <v>8293.8</v>
      </c>
      <c r="T70" s="59">
        <f t="shared" si="3"/>
        <v>77063.6</v>
      </c>
      <c r="U70" s="17" t="s">
        <v>307</v>
      </c>
      <c r="V70" s="13" t="s">
        <v>121</v>
      </c>
    </row>
    <row r="71" spans="1:24" ht="30" customHeight="1">
      <c r="A71" s="42" t="s">
        <v>143</v>
      </c>
      <c r="B71" s="42" t="s">
        <v>145</v>
      </c>
      <c r="C71" s="43" t="s">
        <v>372</v>
      </c>
      <c r="D71" s="44"/>
      <c r="E71" s="45"/>
      <c r="F71" s="43"/>
      <c r="G71" s="45"/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2468.8</v>
      </c>
      <c r="P71" s="46">
        <v>3086</v>
      </c>
      <c r="Q71" s="46">
        <v>1671.6</v>
      </c>
      <c r="R71" s="46"/>
      <c r="S71" s="46">
        <v>0</v>
      </c>
      <c r="T71" s="47">
        <f>SUM(H71:S71)</f>
        <v>7226.4</v>
      </c>
      <c r="U71" s="17" t="s">
        <v>307</v>
      </c>
      <c r="V71" s="13" t="s">
        <v>121</v>
      </c>
      <c r="X71" s="2" t="s">
        <v>427</v>
      </c>
    </row>
    <row r="72" spans="1:24" ht="30" customHeight="1">
      <c r="A72" s="42" t="s">
        <v>143</v>
      </c>
      <c r="B72" s="42" t="s">
        <v>145</v>
      </c>
      <c r="C72" s="43" t="s">
        <v>341</v>
      </c>
      <c r="D72" s="44" t="s">
        <v>346</v>
      </c>
      <c r="E72" s="45">
        <v>43902</v>
      </c>
      <c r="F72" s="43" t="s">
        <v>88</v>
      </c>
      <c r="G72" s="45">
        <v>44266</v>
      </c>
      <c r="H72" s="46">
        <v>0</v>
      </c>
      <c r="I72" s="46">
        <v>0</v>
      </c>
      <c r="J72" s="46">
        <v>11321.6</v>
      </c>
      <c r="K72" s="46">
        <v>5832.4</v>
      </c>
      <c r="L72" s="46">
        <v>9946.6</v>
      </c>
      <c r="M72" s="46">
        <v>1696.6</v>
      </c>
      <c r="N72" s="46">
        <v>0</v>
      </c>
      <c r="O72" s="46">
        <v>0</v>
      </c>
      <c r="P72" s="46">
        <v>0</v>
      </c>
      <c r="Q72" s="46">
        <v>0</v>
      </c>
      <c r="R72" s="46"/>
      <c r="S72" s="46"/>
      <c r="T72" s="47">
        <f t="shared" si="3"/>
        <v>28797.199999999997</v>
      </c>
      <c r="U72" s="17" t="s">
        <v>307</v>
      </c>
      <c r="V72" s="13" t="s">
        <v>121</v>
      </c>
      <c r="X72" s="2" t="s">
        <v>427</v>
      </c>
    </row>
    <row r="73" spans="1:24" s="52" customFormat="1" ht="30" customHeight="1">
      <c r="A73" s="42" t="s">
        <v>336</v>
      </c>
      <c r="B73" s="42" t="s">
        <v>145</v>
      </c>
      <c r="C73" s="43" t="s">
        <v>282</v>
      </c>
      <c r="D73" s="44" t="s">
        <v>283</v>
      </c>
      <c r="E73" s="45">
        <v>43684</v>
      </c>
      <c r="F73" s="43" t="s">
        <v>284</v>
      </c>
      <c r="G73" s="45">
        <v>44049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7">
        <f t="shared" si="3"/>
        <v>0</v>
      </c>
      <c r="U73" s="48" t="s">
        <v>307</v>
      </c>
      <c r="V73" s="44" t="s">
        <v>121</v>
      </c>
      <c r="X73" s="2" t="s">
        <v>427</v>
      </c>
    </row>
    <row r="74" spans="1:22" ht="30" customHeight="1">
      <c r="A74" s="11" t="s">
        <v>143</v>
      </c>
      <c r="B74" s="11" t="s">
        <v>145</v>
      </c>
      <c r="C74" s="12" t="s">
        <v>251</v>
      </c>
      <c r="D74" s="13" t="s">
        <v>99</v>
      </c>
      <c r="E74" s="14">
        <v>43435</v>
      </c>
      <c r="F74" s="12" t="s">
        <v>112</v>
      </c>
      <c r="G74" s="14">
        <v>44165</v>
      </c>
      <c r="H74" s="15">
        <v>3848.8</v>
      </c>
      <c r="I74" s="15">
        <v>2169.93</v>
      </c>
      <c r="J74" s="15">
        <v>5861</v>
      </c>
      <c r="K74" s="15">
        <v>2736.6</v>
      </c>
      <c r="L74" s="40">
        <v>2636.6</v>
      </c>
      <c r="M74" s="15">
        <v>2636.6</v>
      </c>
      <c r="N74" s="15">
        <v>3136.6</v>
      </c>
      <c r="O74" s="15">
        <v>6061</v>
      </c>
      <c r="P74" s="15">
        <v>1112.2</v>
      </c>
      <c r="Q74" s="15">
        <v>0</v>
      </c>
      <c r="R74" s="15">
        <v>0</v>
      </c>
      <c r="S74" s="40">
        <v>0</v>
      </c>
      <c r="T74" s="59">
        <f t="shared" si="3"/>
        <v>30199.329999999998</v>
      </c>
      <c r="U74" s="17" t="s">
        <v>307</v>
      </c>
      <c r="V74" s="13" t="s">
        <v>121</v>
      </c>
    </row>
    <row r="75" spans="1:22" ht="30" customHeight="1">
      <c r="A75" s="11" t="s">
        <v>143</v>
      </c>
      <c r="B75" s="11" t="s">
        <v>145</v>
      </c>
      <c r="C75" s="12" t="s">
        <v>252</v>
      </c>
      <c r="D75" s="23" t="s">
        <v>149</v>
      </c>
      <c r="E75" s="14">
        <v>43435</v>
      </c>
      <c r="F75" s="12" t="s">
        <v>150</v>
      </c>
      <c r="G75" s="14">
        <v>44165</v>
      </c>
      <c r="H75" s="15">
        <v>0</v>
      </c>
      <c r="I75" s="15">
        <v>925</v>
      </c>
      <c r="J75" s="15">
        <v>2905</v>
      </c>
      <c r="K75" s="15">
        <v>2420</v>
      </c>
      <c r="L75" s="40">
        <v>2540</v>
      </c>
      <c r="M75" s="15">
        <v>2685</v>
      </c>
      <c r="N75" s="15">
        <v>2860</v>
      </c>
      <c r="O75" s="15">
        <v>2890</v>
      </c>
      <c r="P75" s="15">
        <v>2760</v>
      </c>
      <c r="Q75" s="15">
        <v>2775</v>
      </c>
      <c r="R75" s="15">
        <v>2495</v>
      </c>
      <c r="S75" s="40">
        <v>1775</v>
      </c>
      <c r="T75" s="59">
        <f t="shared" si="3"/>
        <v>27030</v>
      </c>
      <c r="U75" s="17" t="s">
        <v>307</v>
      </c>
      <c r="V75" s="23" t="s">
        <v>121</v>
      </c>
    </row>
    <row r="76" spans="1:22" ht="30" customHeight="1">
      <c r="A76" s="11" t="s">
        <v>143</v>
      </c>
      <c r="B76" s="11" t="s">
        <v>145</v>
      </c>
      <c r="C76" s="12" t="s">
        <v>253</v>
      </c>
      <c r="D76" s="13" t="s">
        <v>53</v>
      </c>
      <c r="E76" s="14">
        <v>43435</v>
      </c>
      <c r="F76" s="12" t="s">
        <v>69</v>
      </c>
      <c r="G76" s="14">
        <v>44165</v>
      </c>
      <c r="H76" s="15">
        <v>7930</v>
      </c>
      <c r="I76" s="15">
        <v>8690</v>
      </c>
      <c r="J76" s="15">
        <v>6270</v>
      </c>
      <c r="K76" s="15">
        <v>1050</v>
      </c>
      <c r="L76" s="40">
        <v>6540</v>
      </c>
      <c r="M76" s="15">
        <v>4450</v>
      </c>
      <c r="N76" s="15">
        <v>7210</v>
      </c>
      <c r="O76" s="15">
        <v>6980</v>
      </c>
      <c r="P76" s="15">
        <v>8760</v>
      </c>
      <c r="Q76" s="15">
        <v>10540</v>
      </c>
      <c r="R76" s="15">
        <v>8650</v>
      </c>
      <c r="S76" s="40">
        <v>3620</v>
      </c>
      <c r="T76" s="59">
        <f t="shared" si="3"/>
        <v>80690</v>
      </c>
      <c r="U76" s="17" t="s">
        <v>307</v>
      </c>
      <c r="V76" s="13" t="s">
        <v>121</v>
      </c>
    </row>
    <row r="77" spans="1:22" ht="30" customHeight="1">
      <c r="A77" s="11" t="s">
        <v>143</v>
      </c>
      <c r="B77" s="11" t="s">
        <v>145</v>
      </c>
      <c r="C77" s="12" t="s">
        <v>254</v>
      </c>
      <c r="D77" s="13" t="s">
        <v>54</v>
      </c>
      <c r="E77" s="14">
        <v>43435</v>
      </c>
      <c r="F77" s="12" t="s">
        <v>69</v>
      </c>
      <c r="G77" s="14">
        <v>44165</v>
      </c>
      <c r="H77" s="15">
        <v>3080</v>
      </c>
      <c r="I77" s="15">
        <v>3150</v>
      </c>
      <c r="J77" s="15">
        <v>3010</v>
      </c>
      <c r="K77" s="15">
        <v>2310</v>
      </c>
      <c r="L77" s="40">
        <v>2870</v>
      </c>
      <c r="M77" s="15">
        <v>3150</v>
      </c>
      <c r="N77" s="15">
        <v>5740</v>
      </c>
      <c r="O77" s="15">
        <v>3150</v>
      </c>
      <c r="P77" s="15">
        <v>6860</v>
      </c>
      <c r="Q77" s="15">
        <v>5530</v>
      </c>
      <c r="R77" s="15">
        <v>6020</v>
      </c>
      <c r="S77" s="40">
        <v>6090</v>
      </c>
      <c r="T77" s="59">
        <f t="shared" si="3"/>
        <v>50960</v>
      </c>
      <c r="U77" s="17" t="s">
        <v>307</v>
      </c>
      <c r="V77" s="13" t="s">
        <v>121</v>
      </c>
    </row>
    <row r="78" spans="1:22" ht="30" customHeight="1">
      <c r="A78" s="11" t="s">
        <v>143</v>
      </c>
      <c r="B78" s="11" t="s">
        <v>145</v>
      </c>
      <c r="C78" s="12" t="s">
        <v>255</v>
      </c>
      <c r="D78" s="13" t="s">
        <v>55</v>
      </c>
      <c r="E78" s="14">
        <v>43435</v>
      </c>
      <c r="F78" s="12" t="s">
        <v>81</v>
      </c>
      <c r="G78" s="14">
        <v>44165</v>
      </c>
      <c r="H78" s="15">
        <v>16232.24</v>
      </c>
      <c r="I78" s="15">
        <v>23374.03</v>
      </c>
      <c r="J78" s="15">
        <v>19258.5</v>
      </c>
      <c r="K78" s="15">
        <v>15064.09</v>
      </c>
      <c r="L78" s="40">
        <v>14728.93</v>
      </c>
      <c r="M78" s="15">
        <v>21819.77</v>
      </c>
      <c r="N78" s="15">
        <v>18295.68</v>
      </c>
      <c r="O78" s="15">
        <v>20222.85</v>
      </c>
      <c r="P78" s="15">
        <v>17798.12</v>
      </c>
      <c r="Q78" s="15">
        <v>19273.33</v>
      </c>
      <c r="R78" s="15">
        <v>18509.2</v>
      </c>
      <c r="S78" s="40">
        <v>19524.6</v>
      </c>
      <c r="T78" s="59">
        <f t="shared" si="3"/>
        <v>224101.34000000005</v>
      </c>
      <c r="U78" s="17" t="s">
        <v>307</v>
      </c>
      <c r="V78" s="13" t="s">
        <v>121</v>
      </c>
    </row>
    <row r="79" spans="1:22" ht="30" customHeight="1">
      <c r="A79" s="11" t="s">
        <v>143</v>
      </c>
      <c r="B79" s="11" t="s">
        <v>145</v>
      </c>
      <c r="C79" s="12" t="s">
        <v>256</v>
      </c>
      <c r="D79" s="13" t="s">
        <v>159</v>
      </c>
      <c r="E79" s="14">
        <v>43435</v>
      </c>
      <c r="F79" s="12" t="s">
        <v>76</v>
      </c>
      <c r="G79" s="14">
        <v>44165</v>
      </c>
      <c r="H79" s="15">
        <v>5842.5</v>
      </c>
      <c r="I79" s="15">
        <v>4327.5</v>
      </c>
      <c r="J79" s="15">
        <v>4100</v>
      </c>
      <c r="K79" s="15">
        <v>3520</v>
      </c>
      <c r="L79" s="40">
        <v>4457.5</v>
      </c>
      <c r="M79" s="15">
        <v>4540</v>
      </c>
      <c r="N79" s="15">
        <v>4540</v>
      </c>
      <c r="O79" s="15">
        <v>4340</v>
      </c>
      <c r="P79" s="15">
        <v>9895</v>
      </c>
      <c r="Q79" s="15">
        <v>14562.5</v>
      </c>
      <c r="R79" s="15">
        <v>12182.5</v>
      </c>
      <c r="S79" s="40">
        <v>10657.5</v>
      </c>
      <c r="T79" s="59">
        <f t="shared" si="3"/>
        <v>82965</v>
      </c>
      <c r="U79" s="17" t="s">
        <v>307</v>
      </c>
      <c r="V79" s="13" t="s">
        <v>121</v>
      </c>
    </row>
    <row r="80" spans="1:22" ht="30" customHeight="1">
      <c r="A80" s="11" t="s">
        <v>143</v>
      </c>
      <c r="B80" s="11" t="s">
        <v>145</v>
      </c>
      <c r="C80" s="12" t="s">
        <v>257</v>
      </c>
      <c r="D80" s="13" t="s">
        <v>128</v>
      </c>
      <c r="E80" s="14">
        <v>43435</v>
      </c>
      <c r="F80" s="12" t="s">
        <v>138</v>
      </c>
      <c r="G80" s="14">
        <v>44165</v>
      </c>
      <c r="H80" s="15">
        <v>5203</v>
      </c>
      <c r="I80" s="15">
        <v>5128</v>
      </c>
      <c r="J80" s="15">
        <v>0</v>
      </c>
      <c r="K80" s="15">
        <v>0</v>
      </c>
      <c r="L80" s="40">
        <v>0</v>
      </c>
      <c r="M80" s="15">
        <v>0</v>
      </c>
      <c r="N80" s="15">
        <v>0</v>
      </c>
      <c r="O80" s="15">
        <v>4383</v>
      </c>
      <c r="P80" s="15">
        <v>2866.99</v>
      </c>
      <c r="Q80" s="15">
        <v>6895</v>
      </c>
      <c r="R80" s="15">
        <v>5384.99</v>
      </c>
      <c r="S80" s="40">
        <v>11619</v>
      </c>
      <c r="T80" s="59">
        <f t="shared" si="3"/>
        <v>41479.979999999996</v>
      </c>
      <c r="U80" s="17" t="s">
        <v>307</v>
      </c>
      <c r="V80" s="13" t="s">
        <v>121</v>
      </c>
    </row>
    <row r="81" spans="1:22" ht="30" customHeight="1">
      <c r="A81" s="11" t="s">
        <v>143</v>
      </c>
      <c r="B81" s="11" t="s">
        <v>145</v>
      </c>
      <c r="C81" s="12" t="s">
        <v>258</v>
      </c>
      <c r="D81" s="13" t="s">
        <v>56</v>
      </c>
      <c r="E81" s="14">
        <v>43435</v>
      </c>
      <c r="F81" s="12" t="s">
        <v>83</v>
      </c>
      <c r="G81" s="14">
        <v>44165</v>
      </c>
      <c r="H81" s="15">
        <v>6870</v>
      </c>
      <c r="I81" s="15">
        <v>6587.5</v>
      </c>
      <c r="J81" s="15">
        <v>6170</v>
      </c>
      <c r="K81" s="15">
        <v>6410</v>
      </c>
      <c r="L81" s="40">
        <v>6170</v>
      </c>
      <c r="M81" s="15">
        <v>7170</v>
      </c>
      <c r="N81" s="15">
        <v>6770</v>
      </c>
      <c r="O81" s="15">
        <v>7420</v>
      </c>
      <c r="P81" s="15">
        <v>7070</v>
      </c>
      <c r="Q81" s="15">
        <v>6920</v>
      </c>
      <c r="R81" s="15">
        <v>8062.5</v>
      </c>
      <c r="S81" s="40">
        <v>6440</v>
      </c>
      <c r="T81" s="59">
        <f t="shared" si="3"/>
        <v>82060</v>
      </c>
      <c r="U81" s="17" t="s">
        <v>307</v>
      </c>
      <c r="V81" s="13" t="s">
        <v>121</v>
      </c>
    </row>
    <row r="82" spans="1:22" ht="30" customHeight="1">
      <c r="A82" s="11" t="s">
        <v>143</v>
      </c>
      <c r="B82" s="11" t="s">
        <v>145</v>
      </c>
      <c r="C82" s="12" t="s">
        <v>259</v>
      </c>
      <c r="D82" s="23" t="s">
        <v>58</v>
      </c>
      <c r="E82" s="14">
        <v>43435</v>
      </c>
      <c r="F82" s="12" t="s">
        <v>152</v>
      </c>
      <c r="G82" s="14">
        <v>44165</v>
      </c>
      <c r="H82" s="15">
        <v>4887</v>
      </c>
      <c r="I82" s="15">
        <v>4754.75</v>
      </c>
      <c r="J82" s="15">
        <v>4826.25</v>
      </c>
      <c r="K82" s="15">
        <v>4887</v>
      </c>
      <c r="L82" s="40">
        <v>4147</v>
      </c>
      <c r="M82" s="15">
        <v>4815.5</v>
      </c>
      <c r="N82" s="15">
        <v>5505.5</v>
      </c>
      <c r="O82" s="15">
        <v>5434</v>
      </c>
      <c r="P82" s="15">
        <v>7271.5</v>
      </c>
      <c r="Q82" s="15">
        <v>5005</v>
      </c>
      <c r="R82" s="15">
        <v>5362.5</v>
      </c>
      <c r="S82" s="40">
        <v>4862</v>
      </c>
      <c r="T82" s="59">
        <f t="shared" si="3"/>
        <v>61758</v>
      </c>
      <c r="U82" s="17" t="s">
        <v>307</v>
      </c>
      <c r="V82" s="23" t="s">
        <v>121</v>
      </c>
    </row>
    <row r="83" spans="1:22" s="52" customFormat="1" ht="30" customHeight="1">
      <c r="A83" s="11" t="s">
        <v>143</v>
      </c>
      <c r="B83" s="11" t="s">
        <v>145</v>
      </c>
      <c r="C83" s="12" t="s">
        <v>420</v>
      </c>
      <c r="D83" s="23" t="s">
        <v>423</v>
      </c>
      <c r="E83" s="14">
        <v>44138</v>
      </c>
      <c r="F83" s="12" t="s">
        <v>325</v>
      </c>
      <c r="G83" s="14">
        <v>44502</v>
      </c>
      <c r="H83" s="15"/>
      <c r="I83" s="15"/>
      <c r="J83" s="15"/>
      <c r="K83" s="15"/>
      <c r="L83" s="40"/>
      <c r="M83" s="15"/>
      <c r="N83" s="15"/>
      <c r="O83" s="15"/>
      <c r="P83" s="15"/>
      <c r="Q83" s="15"/>
      <c r="R83" s="15">
        <f>754.8+424.8</f>
        <v>1179.6</v>
      </c>
      <c r="S83" s="40">
        <v>1934.4</v>
      </c>
      <c r="T83" s="59">
        <f t="shared" si="3"/>
        <v>3114</v>
      </c>
      <c r="U83" s="60" t="s">
        <v>307</v>
      </c>
      <c r="V83" s="58" t="s">
        <v>121</v>
      </c>
    </row>
    <row r="84" spans="1:22" ht="30" customHeight="1">
      <c r="A84" s="11" t="s">
        <v>143</v>
      </c>
      <c r="B84" s="11" t="s">
        <v>145</v>
      </c>
      <c r="C84" s="12" t="s">
        <v>260</v>
      </c>
      <c r="D84" s="13" t="s">
        <v>126</v>
      </c>
      <c r="E84" s="14">
        <v>43435</v>
      </c>
      <c r="F84" s="12" t="s">
        <v>112</v>
      </c>
      <c r="G84" s="14">
        <v>44165</v>
      </c>
      <c r="H84" s="15">
        <v>2444.27</v>
      </c>
      <c r="I84" s="15">
        <v>3066.4</v>
      </c>
      <c r="J84" s="15">
        <v>2377.6</v>
      </c>
      <c r="K84" s="15">
        <v>1408.8</v>
      </c>
      <c r="L84" s="40">
        <v>1225.47</v>
      </c>
      <c r="M84" s="15">
        <v>1222.13</v>
      </c>
      <c r="N84" s="15">
        <v>1225.47</v>
      </c>
      <c r="O84" s="15">
        <v>1188.8</v>
      </c>
      <c r="P84" s="15">
        <v>3829.07</v>
      </c>
      <c r="Q84" s="15">
        <v>3609.07</v>
      </c>
      <c r="R84" s="15">
        <v>2777.77</v>
      </c>
      <c r="S84" s="40">
        <v>8339.6</v>
      </c>
      <c r="T84" s="59">
        <f t="shared" si="3"/>
        <v>32714.449999999997</v>
      </c>
      <c r="U84" s="17" t="s">
        <v>307</v>
      </c>
      <c r="V84" s="13" t="s">
        <v>121</v>
      </c>
    </row>
    <row r="85" spans="1:22" ht="30" customHeight="1">
      <c r="A85" s="11" t="s">
        <v>143</v>
      </c>
      <c r="B85" s="11" t="s">
        <v>145</v>
      </c>
      <c r="C85" s="12" t="s">
        <v>261</v>
      </c>
      <c r="D85" s="13" t="s">
        <v>106</v>
      </c>
      <c r="E85" s="14">
        <v>43435</v>
      </c>
      <c r="F85" s="12" t="s">
        <v>135</v>
      </c>
      <c r="G85" s="14">
        <v>44165</v>
      </c>
      <c r="H85" s="15">
        <v>476.67</v>
      </c>
      <c r="I85" s="15">
        <v>403.33</v>
      </c>
      <c r="J85" s="15">
        <v>586.67</v>
      </c>
      <c r="K85" s="15">
        <v>0</v>
      </c>
      <c r="L85" s="40">
        <f>623.33+403.33</f>
        <v>1026.66</v>
      </c>
      <c r="M85" s="15">
        <v>586.67</v>
      </c>
      <c r="N85" s="15">
        <v>550</v>
      </c>
      <c r="O85" s="15">
        <v>440</v>
      </c>
      <c r="P85" s="15">
        <v>660</v>
      </c>
      <c r="Q85" s="15">
        <v>0</v>
      </c>
      <c r="R85" s="15">
        <f>476.67+513.33</f>
        <v>990</v>
      </c>
      <c r="S85" s="40">
        <v>1393.33</v>
      </c>
      <c r="T85" s="59">
        <f t="shared" si="3"/>
        <v>7113.33</v>
      </c>
      <c r="U85" s="17" t="s">
        <v>307</v>
      </c>
      <c r="V85" s="13" t="s">
        <v>121</v>
      </c>
    </row>
    <row r="86" spans="1:22" ht="30" customHeight="1">
      <c r="A86" s="11" t="s">
        <v>143</v>
      </c>
      <c r="B86" s="11" t="s">
        <v>145</v>
      </c>
      <c r="C86" s="12" t="s">
        <v>323</v>
      </c>
      <c r="D86" s="13" t="s">
        <v>324</v>
      </c>
      <c r="E86" s="14">
        <v>43836</v>
      </c>
      <c r="F86" s="12" t="s">
        <v>325</v>
      </c>
      <c r="G86" s="14">
        <v>44201</v>
      </c>
      <c r="H86" s="15">
        <v>10491.8</v>
      </c>
      <c r="I86" s="15">
        <v>3825.2</v>
      </c>
      <c r="J86" s="15">
        <v>4419</v>
      </c>
      <c r="K86" s="15"/>
      <c r="L86" s="40">
        <v>2361.4</v>
      </c>
      <c r="M86" s="15">
        <v>4519</v>
      </c>
      <c r="N86" s="15">
        <v>0</v>
      </c>
      <c r="O86" s="15">
        <v>2615.2</v>
      </c>
      <c r="P86" s="15">
        <v>2415.2</v>
      </c>
      <c r="Q86" s="15">
        <v>3094</v>
      </c>
      <c r="R86" s="15">
        <v>1087.6</v>
      </c>
      <c r="S86" s="40">
        <v>1961.4</v>
      </c>
      <c r="T86" s="59">
        <f t="shared" si="3"/>
        <v>36789.8</v>
      </c>
      <c r="U86" s="17" t="s">
        <v>307</v>
      </c>
      <c r="V86" s="13" t="s">
        <v>121</v>
      </c>
    </row>
    <row r="87" spans="1:22" ht="30" customHeight="1">
      <c r="A87" s="11" t="s">
        <v>143</v>
      </c>
      <c r="B87" s="11" t="s">
        <v>145</v>
      </c>
      <c r="C87" s="12" t="s">
        <v>262</v>
      </c>
      <c r="D87" s="13" t="s">
        <v>147</v>
      </c>
      <c r="E87" s="14">
        <v>43435</v>
      </c>
      <c r="F87" s="12" t="s">
        <v>148</v>
      </c>
      <c r="G87" s="14">
        <v>44165</v>
      </c>
      <c r="H87" s="15">
        <v>14831.69</v>
      </c>
      <c r="I87" s="15">
        <v>20563.69</v>
      </c>
      <c r="J87" s="15">
        <v>13552.39</v>
      </c>
      <c r="K87" s="15">
        <v>4273.6</v>
      </c>
      <c r="L87" s="40">
        <v>13099.89</v>
      </c>
      <c r="M87" s="15">
        <v>11433.99</v>
      </c>
      <c r="N87" s="15">
        <v>11697.39</v>
      </c>
      <c r="O87" s="15">
        <v>8027.19</v>
      </c>
      <c r="P87" s="15">
        <v>14652.39</v>
      </c>
      <c r="Q87" s="15">
        <v>5491.99</v>
      </c>
      <c r="R87" s="15">
        <v>0</v>
      </c>
      <c r="S87" s="40">
        <f>8273.6+7157.06</f>
        <v>15430.66</v>
      </c>
      <c r="T87" s="59">
        <f t="shared" si="3"/>
        <v>133054.87</v>
      </c>
      <c r="U87" s="17" t="s">
        <v>307</v>
      </c>
      <c r="V87" s="13" t="s">
        <v>121</v>
      </c>
    </row>
    <row r="88" spans="1:22" ht="30" customHeight="1">
      <c r="A88" s="11" t="s">
        <v>143</v>
      </c>
      <c r="B88" s="11" t="s">
        <v>145</v>
      </c>
      <c r="C88" s="12" t="s">
        <v>293</v>
      </c>
      <c r="D88" s="13" t="s">
        <v>299</v>
      </c>
      <c r="E88" s="14">
        <v>43802</v>
      </c>
      <c r="F88" s="12" t="s">
        <v>152</v>
      </c>
      <c r="G88" s="14">
        <v>44167</v>
      </c>
      <c r="H88" s="15">
        <v>54321.56</v>
      </c>
      <c r="I88" s="15">
        <v>56979.64</v>
      </c>
      <c r="J88" s="15">
        <v>27737.71</v>
      </c>
      <c r="K88" s="15">
        <v>30032.5</v>
      </c>
      <c r="L88" s="40">
        <v>76739.62</v>
      </c>
      <c r="M88" s="15">
        <v>109073.79</v>
      </c>
      <c r="N88" s="15">
        <v>80839.65</v>
      </c>
      <c r="O88" s="15">
        <v>78196.64</v>
      </c>
      <c r="P88" s="15">
        <v>85909.55</v>
      </c>
      <c r="Q88" s="15">
        <v>85721.76</v>
      </c>
      <c r="R88" s="15">
        <v>82316.17</v>
      </c>
      <c r="S88" s="40">
        <v>61107.46</v>
      </c>
      <c r="T88" s="59">
        <f t="shared" si="3"/>
        <v>828976.05</v>
      </c>
      <c r="U88" s="17" t="s">
        <v>307</v>
      </c>
      <c r="V88" s="13" t="s">
        <v>121</v>
      </c>
    </row>
    <row r="89" spans="1:22" ht="30" customHeight="1">
      <c r="A89" s="11" t="s">
        <v>143</v>
      </c>
      <c r="B89" s="11" t="s">
        <v>145</v>
      </c>
      <c r="C89" s="12" t="s">
        <v>211</v>
      </c>
      <c r="D89" s="13" t="s">
        <v>219</v>
      </c>
      <c r="E89" s="14">
        <v>43497</v>
      </c>
      <c r="F89" s="12" t="s">
        <v>220</v>
      </c>
      <c r="G89" s="14">
        <v>43861</v>
      </c>
      <c r="H89" s="15">
        <v>825</v>
      </c>
      <c r="I89" s="15">
        <v>1320</v>
      </c>
      <c r="J89" s="15">
        <v>900</v>
      </c>
      <c r="K89" s="15">
        <v>660</v>
      </c>
      <c r="L89" s="40">
        <v>1200</v>
      </c>
      <c r="M89" s="15">
        <v>900</v>
      </c>
      <c r="N89" s="15">
        <v>0</v>
      </c>
      <c r="O89" s="15">
        <v>660</v>
      </c>
      <c r="P89" s="15">
        <v>990</v>
      </c>
      <c r="Q89" s="15">
        <v>825</v>
      </c>
      <c r="R89" s="15">
        <v>1100</v>
      </c>
      <c r="S89" s="40">
        <v>1045</v>
      </c>
      <c r="T89" s="59">
        <f t="shared" si="3"/>
        <v>10425</v>
      </c>
      <c r="U89" s="17" t="s">
        <v>307</v>
      </c>
      <c r="V89" s="13" t="s">
        <v>121</v>
      </c>
    </row>
    <row r="90" spans="1:22" ht="30" customHeight="1">
      <c r="A90" s="11" t="s">
        <v>143</v>
      </c>
      <c r="B90" s="11" t="s">
        <v>145</v>
      </c>
      <c r="C90" s="12" t="s">
        <v>326</v>
      </c>
      <c r="D90" s="13" t="s">
        <v>327</v>
      </c>
      <c r="E90" s="14">
        <v>43864</v>
      </c>
      <c r="F90" s="12" t="s">
        <v>328</v>
      </c>
      <c r="G90" s="14">
        <v>44229</v>
      </c>
      <c r="H90" s="15">
        <v>0</v>
      </c>
      <c r="I90" s="15">
        <v>1322.7</v>
      </c>
      <c r="J90" s="15">
        <v>2497.9</v>
      </c>
      <c r="K90" s="15">
        <v>1305.3</v>
      </c>
      <c r="L90" s="40">
        <v>3025.5</v>
      </c>
      <c r="M90" s="15">
        <v>3743.1</v>
      </c>
      <c r="N90" s="15">
        <v>4310.7</v>
      </c>
      <c r="O90" s="15">
        <v>2457.9</v>
      </c>
      <c r="P90" s="15">
        <v>1865.3</v>
      </c>
      <c r="Q90" s="15">
        <v>3668.1</v>
      </c>
      <c r="R90" s="15">
        <v>3720.6</v>
      </c>
      <c r="S90" s="40">
        <v>3088</v>
      </c>
      <c r="T90" s="59">
        <f t="shared" si="3"/>
        <v>31005.1</v>
      </c>
      <c r="U90" s="17" t="s">
        <v>307</v>
      </c>
      <c r="V90" s="13" t="s">
        <v>121</v>
      </c>
    </row>
    <row r="91" spans="1:22" ht="30" customHeight="1">
      <c r="A91" s="11" t="s">
        <v>143</v>
      </c>
      <c r="B91" s="11" t="s">
        <v>145</v>
      </c>
      <c r="C91" s="12" t="s">
        <v>218</v>
      </c>
      <c r="D91" s="13" t="s">
        <v>161</v>
      </c>
      <c r="E91" s="14">
        <v>43435</v>
      </c>
      <c r="F91" s="12" t="s">
        <v>162</v>
      </c>
      <c r="G91" s="14">
        <v>44165</v>
      </c>
      <c r="H91" s="15">
        <v>5175</v>
      </c>
      <c r="I91" s="15">
        <v>5090</v>
      </c>
      <c r="J91" s="15">
        <v>5045</v>
      </c>
      <c r="K91" s="15">
        <v>12725</v>
      </c>
      <c r="L91" s="40">
        <v>6630</v>
      </c>
      <c r="M91" s="15">
        <v>11375</v>
      </c>
      <c r="N91" s="15">
        <v>14340</v>
      </c>
      <c r="O91" s="15">
        <v>8155</v>
      </c>
      <c r="P91" s="15">
        <v>9715</v>
      </c>
      <c r="Q91" s="15">
        <v>7725</v>
      </c>
      <c r="R91" s="15">
        <v>10565</v>
      </c>
      <c r="S91" s="40">
        <v>3820</v>
      </c>
      <c r="T91" s="59">
        <f t="shared" si="3"/>
        <v>100360</v>
      </c>
      <c r="U91" s="17" t="s">
        <v>307</v>
      </c>
      <c r="V91" s="13" t="s">
        <v>121</v>
      </c>
    </row>
    <row r="92" spans="1:22" ht="30" customHeight="1">
      <c r="A92" s="11" t="s">
        <v>143</v>
      </c>
      <c r="B92" s="11" t="s">
        <v>145</v>
      </c>
      <c r="C92" s="12" t="s">
        <v>242</v>
      </c>
      <c r="D92" s="13" t="s">
        <v>163</v>
      </c>
      <c r="E92" s="14">
        <v>43435</v>
      </c>
      <c r="F92" s="12" t="s">
        <v>162</v>
      </c>
      <c r="G92" s="14">
        <v>44165</v>
      </c>
      <c r="H92" s="15">
        <v>10505.92</v>
      </c>
      <c r="I92" s="15">
        <v>11950.92</v>
      </c>
      <c r="J92" s="15">
        <v>16763.2</v>
      </c>
      <c r="K92" s="15">
        <v>11200.24</v>
      </c>
      <c r="L92" s="40">
        <v>11505.24</v>
      </c>
      <c r="M92" s="15">
        <v>18752.52</v>
      </c>
      <c r="N92" s="15">
        <v>13554.56</v>
      </c>
      <c r="O92" s="15">
        <v>16168.88</v>
      </c>
      <c r="P92" s="15">
        <v>8356.6</v>
      </c>
      <c r="Q92" s="15">
        <v>11735.24</v>
      </c>
      <c r="R92" s="15">
        <v>14014.56</v>
      </c>
      <c r="S92" s="40">
        <v>7896.6</v>
      </c>
      <c r="T92" s="59">
        <f t="shared" si="3"/>
        <v>152404.48</v>
      </c>
      <c r="U92" s="17" t="s">
        <v>307</v>
      </c>
      <c r="V92" s="13" t="s">
        <v>121</v>
      </c>
    </row>
    <row r="93" spans="1:24" ht="30" customHeight="1">
      <c r="A93" s="42" t="s">
        <v>143</v>
      </c>
      <c r="B93" s="42" t="s">
        <v>145</v>
      </c>
      <c r="C93" s="43" t="s">
        <v>370</v>
      </c>
      <c r="D93" s="44" t="s">
        <v>385</v>
      </c>
      <c r="E93" s="45">
        <v>44053</v>
      </c>
      <c r="F93" s="43" t="s">
        <v>276</v>
      </c>
      <c r="G93" s="45">
        <v>44417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>3196+3281.75</f>
        <v>6477.75</v>
      </c>
      <c r="P93" s="46">
        <f>2556.8+2556.8</f>
        <v>5113.6</v>
      </c>
      <c r="Q93" s="46">
        <f>5220.85+5149.35</f>
        <v>10370.2</v>
      </c>
      <c r="R93" s="46">
        <v>0</v>
      </c>
      <c r="S93" s="46">
        <v>0</v>
      </c>
      <c r="T93" s="47">
        <f t="shared" si="3"/>
        <v>21961.550000000003</v>
      </c>
      <c r="U93" s="17" t="s">
        <v>307</v>
      </c>
      <c r="V93" s="13" t="s">
        <v>121</v>
      </c>
      <c r="X93" s="2" t="s">
        <v>427</v>
      </c>
    </row>
    <row r="94" spans="1:22" s="52" customFormat="1" ht="30" customHeight="1">
      <c r="A94" s="11" t="s">
        <v>143</v>
      </c>
      <c r="B94" s="11" t="s">
        <v>145</v>
      </c>
      <c r="C94" s="12" t="s">
        <v>421</v>
      </c>
      <c r="D94" s="13" t="s">
        <v>424</v>
      </c>
      <c r="E94" s="14">
        <v>44138</v>
      </c>
      <c r="F94" s="12" t="s">
        <v>409</v>
      </c>
      <c r="G94" s="14">
        <v>44502</v>
      </c>
      <c r="H94" s="15"/>
      <c r="I94" s="15"/>
      <c r="J94" s="15"/>
      <c r="K94" s="15"/>
      <c r="L94" s="40"/>
      <c r="M94" s="15"/>
      <c r="N94" s="15"/>
      <c r="O94" s="15"/>
      <c r="P94" s="15"/>
      <c r="Q94" s="15"/>
      <c r="R94" s="15">
        <v>1650</v>
      </c>
      <c r="S94" s="40">
        <v>1197.2</v>
      </c>
      <c r="T94" s="59">
        <f t="shared" si="3"/>
        <v>2847.2</v>
      </c>
      <c r="U94" s="60" t="s">
        <v>307</v>
      </c>
      <c r="V94" s="61" t="s">
        <v>121</v>
      </c>
    </row>
    <row r="95" spans="1:22" ht="30" customHeight="1">
      <c r="A95" s="11" t="s">
        <v>143</v>
      </c>
      <c r="B95" s="11" t="s">
        <v>145</v>
      </c>
      <c r="C95" s="12" t="s">
        <v>329</v>
      </c>
      <c r="D95" s="13" t="s">
        <v>330</v>
      </c>
      <c r="E95" s="14">
        <v>43832</v>
      </c>
      <c r="F95" s="12" t="s">
        <v>185</v>
      </c>
      <c r="G95" s="14">
        <v>44197</v>
      </c>
      <c r="H95" s="15">
        <v>12403.2</v>
      </c>
      <c r="I95" s="15">
        <v>2227.73</v>
      </c>
      <c r="J95" s="15">
        <v>8048.8</v>
      </c>
      <c r="K95" s="15">
        <v>7813.6</v>
      </c>
      <c r="L95" s="40">
        <v>7388.8</v>
      </c>
      <c r="M95" s="15">
        <v>7388.8</v>
      </c>
      <c r="N95" s="15">
        <v>8363.6</v>
      </c>
      <c r="O95" s="15">
        <v>6568.8</v>
      </c>
      <c r="P95" s="15">
        <v>7168.8</v>
      </c>
      <c r="Q95" s="15">
        <v>3584.4</v>
      </c>
      <c r="R95" s="15">
        <v>7168.8</v>
      </c>
      <c r="S95" s="40">
        <v>3584.4</v>
      </c>
      <c r="T95" s="59">
        <f t="shared" si="3"/>
        <v>81709.73</v>
      </c>
      <c r="U95" s="17" t="s">
        <v>307</v>
      </c>
      <c r="V95" s="13" t="s">
        <v>121</v>
      </c>
    </row>
    <row r="96" spans="1:22" ht="30" customHeight="1">
      <c r="A96" s="11" t="s">
        <v>143</v>
      </c>
      <c r="B96" s="11" t="s">
        <v>145</v>
      </c>
      <c r="C96" s="12" t="s">
        <v>241</v>
      </c>
      <c r="D96" s="13" t="s">
        <v>59</v>
      </c>
      <c r="E96" s="14">
        <v>43435</v>
      </c>
      <c r="F96" s="12" t="s">
        <v>84</v>
      </c>
      <c r="G96" s="14">
        <v>44165</v>
      </c>
      <c r="H96" s="15">
        <v>12050</v>
      </c>
      <c r="I96" s="15">
        <v>15700</v>
      </c>
      <c r="J96" s="15">
        <v>8320</v>
      </c>
      <c r="K96" s="15">
        <v>1540</v>
      </c>
      <c r="L96" s="40">
        <v>14340</v>
      </c>
      <c r="M96" s="15">
        <v>17360</v>
      </c>
      <c r="N96" s="15">
        <v>13290</v>
      </c>
      <c r="O96" s="15">
        <v>14430</v>
      </c>
      <c r="P96" s="15">
        <v>16609.8</v>
      </c>
      <c r="Q96" s="15">
        <v>12970</v>
      </c>
      <c r="R96" s="15">
        <v>11900</v>
      </c>
      <c r="S96" s="40">
        <v>9060</v>
      </c>
      <c r="T96" s="59">
        <f t="shared" si="3"/>
        <v>147569.8</v>
      </c>
      <c r="U96" s="17" t="s">
        <v>307</v>
      </c>
      <c r="V96" s="13" t="s">
        <v>121</v>
      </c>
    </row>
    <row r="97" spans="1:22" ht="30" customHeight="1">
      <c r="A97" s="11" t="s">
        <v>143</v>
      </c>
      <c r="B97" s="11" t="s">
        <v>145</v>
      </c>
      <c r="C97" s="12" t="s">
        <v>269</v>
      </c>
      <c r="D97" s="13" t="s">
        <v>270</v>
      </c>
      <c r="E97" s="14">
        <v>43556</v>
      </c>
      <c r="F97" s="12" t="s">
        <v>87</v>
      </c>
      <c r="G97" s="14">
        <v>43921</v>
      </c>
      <c r="H97" s="15">
        <v>1320</v>
      </c>
      <c r="I97" s="15">
        <v>1570</v>
      </c>
      <c r="J97" s="15">
        <v>1910</v>
      </c>
      <c r="K97" s="15">
        <v>990</v>
      </c>
      <c r="L97" s="40">
        <v>2310</v>
      </c>
      <c r="M97" s="15">
        <v>5570</v>
      </c>
      <c r="N97" s="15">
        <v>4147.5</v>
      </c>
      <c r="O97" s="15">
        <v>4590</v>
      </c>
      <c r="P97" s="15">
        <v>4410</v>
      </c>
      <c r="Q97" s="15">
        <v>3340</v>
      </c>
      <c r="R97" s="15">
        <v>4207.5</v>
      </c>
      <c r="S97" s="40">
        <v>1760</v>
      </c>
      <c r="T97" s="59">
        <f t="shared" si="3"/>
        <v>36125</v>
      </c>
      <c r="U97" s="17" t="s">
        <v>307</v>
      </c>
      <c r="V97" s="13" t="s">
        <v>121</v>
      </c>
    </row>
    <row r="98" spans="1:22" ht="30" customHeight="1">
      <c r="A98" s="11" t="s">
        <v>143</v>
      </c>
      <c r="B98" s="11" t="s">
        <v>145</v>
      </c>
      <c r="C98" s="12" t="s">
        <v>196</v>
      </c>
      <c r="D98" s="13" t="s">
        <v>57</v>
      </c>
      <c r="E98" s="14">
        <v>43435</v>
      </c>
      <c r="F98" s="12" t="s">
        <v>73</v>
      </c>
      <c r="G98" s="14">
        <v>44165</v>
      </c>
      <c r="H98" s="15">
        <v>10340</v>
      </c>
      <c r="I98" s="15">
        <v>10037.5</v>
      </c>
      <c r="J98" s="15">
        <v>11110</v>
      </c>
      <c r="K98" s="15">
        <v>9350</v>
      </c>
      <c r="L98" s="40">
        <v>10780</v>
      </c>
      <c r="M98" s="15">
        <v>10450</v>
      </c>
      <c r="N98" s="15">
        <v>11137.5</v>
      </c>
      <c r="O98" s="15">
        <v>11055</v>
      </c>
      <c r="P98" s="15">
        <v>10367.5</v>
      </c>
      <c r="Q98" s="15">
        <v>10340</v>
      </c>
      <c r="R98" s="15">
        <v>9625</v>
      </c>
      <c r="S98" s="40">
        <v>10725</v>
      </c>
      <c r="T98" s="59">
        <f t="shared" si="3"/>
        <v>125317.5</v>
      </c>
      <c r="U98" s="17" t="s">
        <v>307</v>
      </c>
      <c r="V98" s="13" t="s">
        <v>121</v>
      </c>
    </row>
    <row r="99" spans="1:22" ht="30" customHeight="1">
      <c r="A99" s="11" t="s">
        <v>143</v>
      </c>
      <c r="B99" s="11" t="s">
        <v>145</v>
      </c>
      <c r="C99" s="12" t="s">
        <v>195</v>
      </c>
      <c r="D99" s="13" t="s">
        <v>65</v>
      </c>
      <c r="E99" s="14">
        <v>43435</v>
      </c>
      <c r="F99" s="12" t="s">
        <v>74</v>
      </c>
      <c r="G99" s="14">
        <v>44165</v>
      </c>
      <c r="H99" s="15">
        <v>4775</v>
      </c>
      <c r="I99" s="15">
        <v>0</v>
      </c>
      <c r="J99" s="15">
        <v>0</v>
      </c>
      <c r="K99" s="15">
        <v>0</v>
      </c>
      <c r="L99" s="40">
        <v>0</v>
      </c>
      <c r="M99" s="15">
        <v>2600</v>
      </c>
      <c r="N99" s="15">
        <v>6300</v>
      </c>
      <c r="O99" s="15">
        <v>7175</v>
      </c>
      <c r="P99" s="15">
        <v>8175</v>
      </c>
      <c r="Q99" s="15">
        <v>8175</v>
      </c>
      <c r="R99" s="15">
        <v>9022.5</v>
      </c>
      <c r="S99" s="40">
        <v>6263</v>
      </c>
      <c r="T99" s="59">
        <f t="shared" si="3"/>
        <v>52485.5</v>
      </c>
      <c r="U99" s="17" t="s">
        <v>307</v>
      </c>
      <c r="V99" s="13" t="s">
        <v>121</v>
      </c>
    </row>
    <row r="100" spans="1:24" ht="30" customHeight="1">
      <c r="A100" s="42" t="s">
        <v>143</v>
      </c>
      <c r="B100" s="42" t="s">
        <v>145</v>
      </c>
      <c r="C100" s="43" t="s">
        <v>337</v>
      </c>
      <c r="D100" s="44" t="s">
        <v>347</v>
      </c>
      <c r="E100" s="45">
        <v>43892</v>
      </c>
      <c r="F100" s="43" t="s">
        <v>351</v>
      </c>
      <c r="G100" s="45">
        <v>44256</v>
      </c>
      <c r="H100" s="46">
        <v>0</v>
      </c>
      <c r="I100" s="46">
        <v>0</v>
      </c>
      <c r="J100" s="46">
        <v>5546.4</v>
      </c>
      <c r="K100" s="46">
        <v>8077</v>
      </c>
      <c r="L100" s="46">
        <v>7747.6</v>
      </c>
      <c r="M100" s="46">
        <v>8891.6</v>
      </c>
      <c r="N100" s="46">
        <v>4588.8</v>
      </c>
      <c r="O100" s="46">
        <v>7505</v>
      </c>
      <c r="P100" s="46">
        <v>6289.5</v>
      </c>
      <c r="Q100" s="46">
        <v>0</v>
      </c>
      <c r="R100" s="46">
        <v>0</v>
      </c>
      <c r="S100" s="46">
        <v>0</v>
      </c>
      <c r="T100" s="47">
        <f t="shared" si="3"/>
        <v>48645.9</v>
      </c>
      <c r="U100" s="17" t="s">
        <v>307</v>
      </c>
      <c r="V100" s="13" t="s">
        <v>121</v>
      </c>
      <c r="X100" s="2" t="s">
        <v>427</v>
      </c>
    </row>
    <row r="101" spans="1:22" s="52" customFormat="1" ht="30" customHeight="1">
      <c r="A101" s="42" t="s">
        <v>336</v>
      </c>
      <c r="B101" s="42" t="s">
        <v>145</v>
      </c>
      <c r="C101" s="43" t="s">
        <v>240</v>
      </c>
      <c r="D101" s="44" t="s">
        <v>109</v>
      </c>
      <c r="E101" s="45">
        <v>43435</v>
      </c>
      <c r="F101" s="43" t="s">
        <v>111</v>
      </c>
      <c r="G101" s="45">
        <v>44165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7">
        <f t="shared" si="3"/>
        <v>0</v>
      </c>
      <c r="U101" s="48" t="s">
        <v>307</v>
      </c>
      <c r="V101" s="44" t="s">
        <v>121</v>
      </c>
    </row>
    <row r="102" spans="1:22" ht="30" customHeight="1">
      <c r="A102" s="11" t="s">
        <v>143</v>
      </c>
      <c r="B102" s="11" t="s">
        <v>145</v>
      </c>
      <c r="C102" s="12" t="s">
        <v>239</v>
      </c>
      <c r="D102" s="13" t="s">
        <v>60</v>
      </c>
      <c r="E102" s="14">
        <v>43435</v>
      </c>
      <c r="F102" s="12" t="s">
        <v>85</v>
      </c>
      <c r="G102" s="14">
        <v>44165</v>
      </c>
      <c r="H102" s="15">
        <v>9266.67</v>
      </c>
      <c r="I102" s="15">
        <v>6466.67</v>
      </c>
      <c r="J102" s="15">
        <v>7133.33</v>
      </c>
      <c r="K102" s="15">
        <v>8500</v>
      </c>
      <c r="L102" s="41">
        <v>9680</v>
      </c>
      <c r="M102" s="15">
        <v>14410</v>
      </c>
      <c r="N102" s="15">
        <v>9570</v>
      </c>
      <c r="O102" s="15">
        <v>11440</v>
      </c>
      <c r="P102" s="15">
        <v>11330</v>
      </c>
      <c r="Q102" s="15">
        <v>11146.67</v>
      </c>
      <c r="R102" s="15">
        <v>6343.33</v>
      </c>
      <c r="S102" s="40">
        <v>9460</v>
      </c>
      <c r="T102" s="59">
        <f t="shared" si="3"/>
        <v>114746.67</v>
      </c>
      <c r="U102" s="17" t="s">
        <v>307</v>
      </c>
      <c r="V102" s="13" t="s">
        <v>121</v>
      </c>
    </row>
    <row r="103" spans="1:22" ht="30" customHeight="1">
      <c r="A103" s="11" t="s">
        <v>143</v>
      </c>
      <c r="B103" s="11" t="s">
        <v>145</v>
      </c>
      <c r="C103" s="12" t="s">
        <v>210</v>
      </c>
      <c r="D103" s="13" t="s">
        <v>214</v>
      </c>
      <c r="E103" s="14">
        <v>43497</v>
      </c>
      <c r="F103" s="12" t="s">
        <v>215</v>
      </c>
      <c r="G103" s="14">
        <v>43861</v>
      </c>
      <c r="H103" s="15">
        <v>1627.5</v>
      </c>
      <c r="I103" s="15">
        <v>1557.5</v>
      </c>
      <c r="J103" s="15">
        <v>2135</v>
      </c>
      <c r="K103" s="15">
        <v>1707.5</v>
      </c>
      <c r="L103" s="41">
        <v>2197.5</v>
      </c>
      <c r="M103" s="15">
        <v>1632.5</v>
      </c>
      <c r="N103" s="15">
        <v>2737.5</v>
      </c>
      <c r="O103" s="15">
        <v>1682.5</v>
      </c>
      <c r="P103" s="15">
        <v>2075</v>
      </c>
      <c r="Q103" s="15">
        <v>1582.5</v>
      </c>
      <c r="R103" s="15">
        <v>1080</v>
      </c>
      <c r="S103" s="40">
        <v>1657.5</v>
      </c>
      <c r="T103" s="59">
        <f t="shared" si="3"/>
        <v>21672.5</v>
      </c>
      <c r="U103" s="17" t="s">
        <v>307</v>
      </c>
      <c r="V103" s="13" t="s">
        <v>121</v>
      </c>
    </row>
    <row r="104" spans="1:22" ht="30" customHeight="1">
      <c r="A104" s="11" t="s">
        <v>143</v>
      </c>
      <c r="B104" s="11" t="s">
        <v>145</v>
      </c>
      <c r="C104" s="12" t="s">
        <v>216</v>
      </c>
      <c r="D104" s="13" t="s">
        <v>101</v>
      </c>
      <c r="E104" s="14">
        <v>43435</v>
      </c>
      <c r="F104" s="12" t="s">
        <v>114</v>
      </c>
      <c r="G104" s="14">
        <v>44165</v>
      </c>
      <c r="H104" s="15">
        <v>6342.8</v>
      </c>
      <c r="I104" s="15">
        <v>5139</v>
      </c>
      <c r="J104" s="15">
        <v>3311.4</v>
      </c>
      <c r="K104" s="15">
        <v>5139</v>
      </c>
      <c r="L104" s="41">
        <v>9410.4</v>
      </c>
      <c r="M104" s="15">
        <v>6019</v>
      </c>
      <c r="N104" s="15">
        <v>5579</v>
      </c>
      <c r="O104" s="15">
        <v>5579</v>
      </c>
      <c r="P104" s="15">
        <v>6019</v>
      </c>
      <c r="Q104" s="15">
        <v>6019</v>
      </c>
      <c r="R104" s="15">
        <v>4815.2</v>
      </c>
      <c r="S104" s="40">
        <v>4815.2</v>
      </c>
      <c r="T104" s="59">
        <f t="shared" si="3"/>
        <v>68188</v>
      </c>
      <c r="U104" s="17" t="s">
        <v>307</v>
      </c>
      <c r="V104" s="13" t="s">
        <v>121</v>
      </c>
    </row>
    <row r="105" spans="1:22" ht="30" customHeight="1">
      <c r="A105" s="11" t="s">
        <v>143</v>
      </c>
      <c r="B105" s="11" t="s">
        <v>145</v>
      </c>
      <c r="C105" s="12" t="s">
        <v>217</v>
      </c>
      <c r="D105" s="13" t="s">
        <v>61</v>
      </c>
      <c r="E105" s="14">
        <v>43435</v>
      </c>
      <c r="F105" s="12" t="s">
        <v>86</v>
      </c>
      <c r="G105" s="14">
        <v>44165</v>
      </c>
      <c r="H105" s="15">
        <v>6260.1</v>
      </c>
      <c r="I105" s="15">
        <v>8606.8</v>
      </c>
      <c r="J105" s="15">
        <v>8244.3</v>
      </c>
      <c r="K105" s="15">
        <v>8613.5</v>
      </c>
      <c r="L105" s="41">
        <v>8216.8</v>
      </c>
      <c r="M105" s="15">
        <v>9879.4</v>
      </c>
      <c r="N105" s="15">
        <v>13035.3</v>
      </c>
      <c r="O105" s="15">
        <v>10750.3</v>
      </c>
      <c r="P105" s="15">
        <v>9736.9</v>
      </c>
      <c r="Q105" s="15">
        <v>10563.5</v>
      </c>
      <c r="R105" s="15">
        <v>7046.8</v>
      </c>
      <c r="S105" s="40">
        <v>3913.4</v>
      </c>
      <c r="T105" s="59">
        <f t="shared" si="3"/>
        <v>104867.09999999999</v>
      </c>
      <c r="U105" s="17" t="s">
        <v>307</v>
      </c>
      <c r="V105" s="13" t="s">
        <v>121</v>
      </c>
    </row>
    <row r="106" spans="1:22" ht="30" customHeight="1">
      <c r="A106" s="11" t="s">
        <v>143</v>
      </c>
      <c r="B106" s="11" t="s">
        <v>145</v>
      </c>
      <c r="C106" s="12" t="s">
        <v>237</v>
      </c>
      <c r="D106" s="13" t="s">
        <v>63</v>
      </c>
      <c r="E106" s="14">
        <v>43435</v>
      </c>
      <c r="F106" s="12" t="s">
        <v>151</v>
      </c>
      <c r="G106" s="14">
        <v>44165</v>
      </c>
      <c r="H106" s="15">
        <v>6960</v>
      </c>
      <c r="I106" s="15">
        <v>7400</v>
      </c>
      <c r="J106" s="15">
        <v>7060</v>
      </c>
      <c r="K106" s="15">
        <v>6150</v>
      </c>
      <c r="L106" s="41">
        <v>8740</v>
      </c>
      <c r="M106" s="15">
        <v>10220</v>
      </c>
      <c r="N106" s="15">
        <v>5310</v>
      </c>
      <c r="O106" s="15">
        <v>13305</v>
      </c>
      <c r="P106" s="15">
        <v>10015</v>
      </c>
      <c r="Q106" s="15">
        <v>8050</v>
      </c>
      <c r="R106" s="15">
        <v>8860</v>
      </c>
      <c r="S106" s="40">
        <v>5910</v>
      </c>
      <c r="T106" s="59">
        <f t="shared" si="3"/>
        <v>97980</v>
      </c>
      <c r="U106" s="17" t="s">
        <v>307</v>
      </c>
      <c r="V106" s="13" t="s">
        <v>121</v>
      </c>
    </row>
    <row r="107" spans="1:22" ht="30" customHeight="1">
      <c r="A107" s="11" t="s">
        <v>143</v>
      </c>
      <c r="B107" s="11" t="s">
        <v>145</v>
      </c>
      <c r="C107" s="12" t="s">
        <v>238</v>
      </c>
      <c r="D107" s="13" t="s">
        <v>62</v>
      </c>
      <c r="E107" s="14">
        <v>43435</v>
      </c>
      <c r="F107" s="12" t="s">
        <v>71</v>
      </c>
      <c r="G107" s="14">
        <v>44165</v>
      </c>
      <c r="H107" s="15">
        <v>25590</v>
      </c>
      <c r="I107" s="15">
        <v>24490</v>
      </c>
      <c r="J107" s="15">
        <v>15400</v>
      </c>
      <c r="K107" s="15">
        <v>8370</v>
      </c>
      <c r="L107" s="41">
        <v>23390</v>
      </c>
      <c r="M107" s="15">
        <v>38640</v>
      </c>
      <c r="N107" s="15">
        <v>24240</v>
      </c>
      <c r="O107" s="15">
        <v>24190</v>
      </c>
      <c r="P107" s="15">
        <v>33340</v>
      </c>
      <c r="Q107" s="15">
        <v>38290</v>
      </c>
      <c r="R107" s="15">
        <v>30890</v>
      </c>
      <c r="S107" s="40">
        <v>25100</v>
      </c>
      <c r="T107" s="59">
        <f t="shared" si="3"/>
        <v>311930</v>
      </c>
      <c r="U107" s="17" t="s">
        <v>307</v>
      </c>
      <c r="V107" s="13" t="s">
        <v>121</v>
      </c>
    </row>
    <row r="108" spans="1:24" ht="30" customHeight="1">
      <c r="A108" s="42" t="s">
        <v>143</v>
      </c>
      <c r="B108" s="42" t="s">
        <v>145</v>
      </c>
      <c r="C108" s="43" t="s">
        <v>236</v>
      </c>
      <c r="D108" s="44" t="s">
        <v>64</v>
      </c>
      <c r="E108" s="45">
        <v>43435</v>
      </c>
      <c r="F108" s="43" t="s">
        <v>87</v>
      </c>
      <c r="G108" s="45">
        <v>44165</v>
      </c>
      <c r="H108" s="46">
        <v>4060</v>
      </c>
      <c r="I108" s="46">
        <v>3940</v>
      </c>
      <c r="J108" s="46">
        <v>3690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7">
        <f t="shared" si="3"/>
        <v>11690</v>
      </c>
      <c r="U108" s="17" t="s">
        <v>307</v>
      </c>
      <c r="V108" s="13" t="s">
        <v>121</v>
      </c>
      <c r="X108" s="2" t="s">
        <v>427</v>
      </c>
    </row>
    <row r="109" spans="1:22" ht="30" customHeight="1">
      <c r="A109" s="11" t="s">
        <v>143</v>
      </c>
      <c r="B109" s="11" t="s">
        <v>145</v>
      </c>
      <c r="C109" s="12" t="s">
        <v>277</v>
      </c>
      <c r="D109" s="13" t="s">
        <v>278</v>
      </c>
      <c r="E109" s="14">
        <v>43684</v>
      </c>
      <c r="F109" s="12" t="s">
        <v>268</v>
      </c>
      <c r="G109" s="14">
        <v>44049</v>
      </c>
      <c r="H109" s="15">
        <v>2640</v>
      </c>
      <c r="I109" s="15">
        <v>4400</v>
      </c>
      <c r="J109" s="15">
        <v>3400</v>
      </c>
      <c r="K109" s="15">
        <v>0</v>
      </c>
      <c r="L109" s="41">
        <v>1540</v>
      </c>
      <c r="M109" s="15">
        <v>5060</v>
      </c>
      <c r="N109" s="15">
        <v>7260</v>
      </c>
      <c r="O109" s="15">
        <v>6160</v>
      </c>
      <c r="P109" s="15">
        <v>4400</v>
      </c>
      <c r="Q109" s="15">
        <v>6160</v>
      </c>
      <c r="R109" s="15">
        <v>6600</v>
      </c>
      <c r="S109" s="40">
        <v>7480</v>
      </c>
      <c r="T109" s="59">
        <f aca="true" t="shared" si="4" ref="T109:T118">SUM(H109:S109)</f>
        <v>55100</v>
      </c>
      <c r="U109" s="17" t="s">
        <v>307</v>
      </c>
      <c r="V109" s="13" t="s">
        <v>121</v>
      </c>
    </row>
    <row r="110" spans="1:22" ht="30" customHeight="1">
      <c r="A110" s="11" t="s">
        <v>143</v>
      </c>
      <c r="B110" s="11" t="s">
        <v>145</v>
      </c>
      <c r="C110" s="12" t="s">
        <v>207</v>
      </c>
      <c r="D110" s="13" t="s">
        <v>213</v>
      </c>
      <c r="E110" s="14">
        <v>43497</v>
      </c>
      <c r="F110" s="12" t="s">
        <v>185</v>
      </c>
      <c r="G110" s="14">
        <v>43861</v>
      </c>
      <c r="H110" s="15">
        <v>9659.47</v>
      </c>
      <c r="I110" s="15">
        <v>18771.6</v>
      </c>
      <c r="J110" s="15">
        <f>9023.6+7043.6</f>
        <v>16067.2</v>
      </c>
      <c r="K110" s="15">
        <f>5628.8+3868.8</f>
        <v>9497.6</v>
      </c>
      <c r="L110" s="41">
        <v>11257.6</v>
      </c>
      <c r="M110" s="15">
        <v>14799.07</v>
      </c>
      <c r="N110" s="15">
        <v>12232.4</v>
      </c>
      <c r="O110" s="15">
        <f>7645.47+5063.6</f>
        <v>12709.07</v>
      </c>
      <c r="P110" s="15">
        <f>6854+4748.8</f>
        <v>11602.8</v>
      </c>
      <c r="Q110" s="15">
        <f>7718.8+3459.2</f>
        <v>11178</v>
      </c>
      <c r="R110" s="15">
        <f>3459.2+4244.4</f>
        <v>7703.599999999999</v>
      </c>
      <c r="S110" s="40">
        <f>1414.8+7028.4</f>
        <v>8443.199999999999</v>
      </c>
      <c r="T110" s="59">
        <f t="shared" si="4"/>
        <v>143921.61000000002</v>
      </c>
      <c r="U110" s="17" t="s">
        <v>307</v>
      </c>
      <c r="V110" s="13" t="s">
        <v>121</v>
      </c>
    </row>
    <row r="111" spans="1:22" s="52" customFormat="1" ht="30" customHeight="1">
      <c r="A111" s="42" t="s">
        <v>336</v>
      </c>
      <c r="B111" s="42" t="s">
        <v>145</v>
      </c>
      <c r="C111" s="43" t="s">
        <v>235</v>
      </c>
      <c r="D111" s="44" t="s">
        <v>100</v>
      </c>
      <c r="E111" s="45">
        <v>43435</v>
      </c>
      <c r="F111" s="43" t="s">
        <v>113</v>
      </c>
      <c r="G111" s="45">
        <v>43861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7">
        <f t="shared" si="4"/>
        <v>0</v>
      </c>
      <c r="U111" s="48" t="s">
        <v>307</v>
      </c>
      <c r="V111" s="44" t="s">
        <v>121</v>
      </c>
    </row>
    <row r="112" spans="1:22" ht="30" customHeight="1">
      <c r="A112" s="42" t="s">
        <v>336</v>
      </c>
      <c r="B112" s="42" t="s">
        <v>145</v>
      </c>
      <c r="C112" s="43" t="s">
        <v>194</v>
      </c>
      <c r="D112" s="44" t="s">
        <v>127</v>
      </c>
      <c r="E112" s="45">
        <v>43435</v>
      </c>
      <c r="F112" s="43" t="s">
        <v>113</v>
      </c>
      <c r="G112" s="46"/>
      <c r="H112" s="46">
        <v>2600</v>
      </c>
      <c r="I112" s="46">
        <v>0</v>
      </c>
      <c r="J112" s="46">
        <v>0</v>
      </c>
      <c r="K112" s="54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/>
      <c r="S112" s="46">
        <v>0</v>
      </c>
      <c r="T112" s="47">
        <f t="shared" si="4"/>
        <v>2600</v>
      </c>
      <c r="U112" s="48" t="s">
        <v>307</v>
      </c>
      <c r="V112" s="44" t="s">
        <v>121</v>
      </c>
    </row>
    <row r="113" spans="1:22" ht="30" customHeight="1">
      <c r="A113" s="11" t="s">
        <v>143</v>
      </c>
      <c r="B113" s="11" t="s">
        <v>145</v>
      </c>
      <c r="C113" s="12" t="s">
        <v>373</v>
      </c>
      <c r="D113" s="13" t="s">
        <v>386</v>
      </c>
      <c r="E113" s="14">
        <v>43862</v>
      </c>
      <c r="F113" s="12" t="s">
        <v>113</v>
      </c>
      <c r="G113" s="14">
        <v>44227</v>
      </c>
      <c r="H113" s="15">
        <v>0</v>
      </c>
      <c r="I113" s="15">
        <v>1900</v>
      </c>
      <c r="J113" s="15">
        <v>1000</v>
      </c>
      <c r="K113" s="15">
        <v>0</v>
      </c>
      <c r="L113" s="53">
        <v>1300</v>
      </c>
      <c r="M113" s="15">
        <v>700</v>
      </c>
      <c r="N113" s="15">
        <v>1300</v>
      </c>
      <c r="O113" s="15">
        <v>1500</v>
      </c>
      <c r="P113" s="15">
        <v>1000</v>
      </c>
      <c r="Q113" s="15">
        <v>2000</v>
      </c>
      <c r="R113" s="15">
        <v>1300</v>
      </c>
      <c r="S113" s="40">
        <v>400</v>
      </c>
      <c r="T113" s="59">
        <f>SUM(H113:S113)</f>
        <v>12400</v>
      </c>
      <c r="U113" s="17" t="s">
        <v>307</v>
      </c>
      <c r="V113" s="13" t="s">
        <v>121</v>
      </c>
    </row>
    <row r="114" spans="1:22" ht="30" customHeight="1">
      <c r="A114" s="11" t="s">
        <v>143</v>
      </c>
      <c r="B114" s="11" t="s">
        <v>145</v>
      </c>
      <c r="C114" s="12" t="s">
        <v>425</v>
      </c>
      <c r="D114" s="13" t="s">
        <v>426</v>
      </c>
      <c r="E114" s="14">
        <v>44166</v>
      </c>
      <c r="F114" s="12" t="s">
        <v>177</v>
      </c>
      <c r="G114" s="14">
        <v>44530</v>
      </c>
      <c r="H114" s="15"/>
      <c r="I114" s="15"/>
      <c r="J114" s="15"/>
      <c r="K114" s="15"/>
      <c r="L114" s="69"/>
      <c r="M114" s="15"/>
      <c r="N114" s="15"/>
      <c r="O114" s="15"/>
      <c r="P114" s="15"/>
      <c r="Q114" s="15"/>
      <c r="R114" s="15"/>
      <c r="S114" s="40">
        <v>7770</v>
      </c>
      <c r="T114" s="59">
        <f>SUM(H114:S114)</f>
        <v>7770</v>
      </c>
      <c r="U114" s="17"/>
      <c r="V114" s="13"/>
    </row>
    <row r="115" spans="1:22" s="52" customFormat="1" ht="30" customHeight="1">
      <c r="A115" s="42" t="s">
        <v>336</v>
      </c>
      <c r="B115" s="42" t="s">
        <v>145</v>
      </c>
      <c r="C115" s="43" t="s">
        <v>193</v>
      </c>
      <c r="D115" s="44" t="s">
        <v>66</v>
      </c>
      <c r="E115" s="45">
        <v>43435</v>
      </c>
      <c r="F115" s="43" t="s">
        <v>88</v>
      </c>
      <c r="G115" s="45">
        <v>44165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7">
        <f t="shared" si="4"/>
        <v>0</v>
      </c>
      <c r="U115" s="48" t="s">
        <v>307</v>
      </c>
      <c r="V115" s="44" t="s">
        <v>121</v>
      </c>
    </row>
    <row r="116" spans="1:22" ht="30" customHeight="1">
      <c r="A116" s="11" t="s">
        <v>143</v>
      </c>
      <c r="B116" s="11" t="s">
        <v>145</v>
      </c>
      <c r="C116" s="12" t="s">
        <v>340</v>
      </c>
      <c r="D116" s="13" t="s">
        <v>348</v>
      </c>
      <c r="E116" s="14">
        <v>43892</v>
      </c>
      <c r="F116" s="12" t="s">
        <v>353</v>
      </c>
      <c r="G116" s="14">
        <v>44256</v>
      </c>
      <c r="H116" s="15">
        <v>0</v>
      </c>
      <c r="I116" s="15">
        <v>0</v>
      </c>
      <c r="J116" s="15">
        <v>8910</v>
      </c>
      <c r="K116" s="15">
        <v>4510</v>
      </c>
      <c r="L116" s="41">
        <v>14300</v>
      </c>
      <c r="M116" s="15">
        <v>22990</v>
      </c>
      <c r="N116" s="15">
        <v>23650</v>
      </c>
      <c r="O116" s="15">
        <v>21670</v>
      </c>
      <c r="P116" s="15">
        <v>21890</v>
      </c>
      <c r="Q116" s="15">
        <v>17050</v>
      </c>
      <c r="R116" s="15">
        <v>4722.5</v>
      </c>
      <c r="S116" s="40">
        <v>8420</v>
      </c>
      <c r="T116" s="59">
        <f t="shared" si="4"/>
        <v>148112.5</v>
      </c>
      <c r="U116" s="17" t="s">
        <v>307</v>
      </c>
      <c r="V116" s="13" t="s">
        <v>121</v>
      </c>
    </row>
    <row r="117" spans="1:22" ht="30" customHeight="1">
      <c r="A117" s="11" t="s">
        <v>143</v>
      </c>
      <c r="B117" s="11" t="s">
        <v>145</v>
      </c>
      <c r="C117" s="12" t="s">
        <v>192</v>
      </c>
      <c r="D117" s="13" t="s">
        <v>67</v>
      </c>
      <c r="E117" s="14">
        <v>43435</v>
      </c>
      <c r="F117" s="12" t="s">
        <v>89</v>
      </c>
      <c r="G117" s="14">
        <v>44165</v>
      </c>
      <c r="H117" s="15">
        <v>23512.5</v>
      </c>
      <c r="I117" s="15">
        <v>24557.5</v>
      </c>
      <c r="J117" s="15">
        <v>1875</v>
      </c>
      <c r="K117" s="15">
        <v>1100</v>
      </c>
      <c r="L117" s="41">
        <v>3025</v>
      </c>
      <c r="M117" s="15">
        <v>3052.5</v>
      </c>
      <c r="N117" s="15">
        <v>3822.5</v>
      </c>
      <c r="O117" s="15">
        <v>4510</v>
      </c>
      <c r="P117" s="15">
        <v>4427.5</v>
      </c>
      <c r="Q117" s="15">
        <v>6372.5</v>
      </c>
      <c r="R117" s="15">
        <v>16830</v>
      </c>
      <c r="S117" s="40">
        <v>13310</v>
      </c>
      <c r="T117" s="59">
        <f t="shared" si="4"/>
        <v>106395</v>
      </c>
      <c r="U117" s="17" t="s">
        <v>307</v>
      </c>
      <c r="V117" s="13" t="s">
        <v>121</v>
      </c>
    </row>
    <row r="118" spans="1:22" ht="30" customHeight="1">
      <c r="A118" s="11" t="s">
        <v>143</v>
      </c>
      <c r="B118" s="11" t="s">
        <v>145</v>
      </c>
      <c r="C118" s="12" t="s">
        <v>191</v>
      </c>
      <c r="D118" s="13" t="s">
        <v>68</v>
      </c>
      <c r="E118" s="14">
        <v>43435</v>
      </c>
      <c r="F118" s="12" t="s">
        <v>90</v>
      </c>
      <c r="G118" s="14">
        <v>44165</v>
      </c>
      <c r="H118" s="15">
        <v>7282.5</v>
      </c>
      <c r="I118" s="15">
        <v>7332.5</v>
      </c>
      <c r="J118" s="15">
        <v>7447.5</v>
      </c>
      <c r="K118" s="15">
        <v>6627.5</v>
      </c>
      <c r="L118" s="41">
        <v>6490</v>
      </c>
      <c r="M118" s="15">
        <v>7590</v>
      </c>
      <c r="N118" s="15">
        <v>7260</v>
      </c>
      <c r="O118" s="15">
        <v>7342.5</v>
      </c>
      <c r="P118" s="15">
        <v>7260</v>
      </c>
      <c r="Q118" s="15">
        <v>7227.5</v>
      </c>
      <c r="R118" s="15">
        <v>7310</v>
      </c>
      <c r="S118" s="40">
        <v>7150</v>
      </c>
      <c r="T118" s="59">
        <f t="shared" si="4"/>
        <v>86320</v>
      </c>
      <c r="U118" s="17" t="s">
        <v>307</v>
      </c>
      <c r="V118" s="13" t="s">
        <v>121</v>
      </c>
    </row>
    <row r="119" spans="1:22" ht="12.75">
      <c r="A119" s="81" t="s">
        <v>0</v>
      </c>
      <c r="B119" s="81"/>
      <c r="C119" s="81"/>
      <c r="D119" s="81"/>
      <c r="E119" s="81"/>
      <c r="F119" s="81"/>
      <c r="G119" s="81"/>
      <c r="H119" s="65">
        <f aca="true" t="shared" si="5" ref="H119:S119">SUM(H29:H118)</f>
        <v>695254.76</v>
      </c>
      <c r="I119" s="65">
        <f t="shared" si="5"/>
        <v>695250.02</v>
      </c>
      <c r="J119" s="65">
        <f t="shared" si="5"/>
        <v>620054.2000000001</v>
      </c>
      <c r="K119" s="65">
        <f t="shared" si="5"/>
        <v>449060.3999999999</v>
      </c>
      <c r="L119" s="65">
        <f t="shared" si="5"/>
        <v>661927.23</v>
      </c>
      <c r="M119" s="65">
        <f t="shared" si="5"/>
        <v>907177.7300000001</v>
      </c>
      <c r="N119" s="65">
        <f t="shared" si="5"/>
        <v>776592.26</v>
      </c>
      <c r="O119" s="65">
        <f t="shared" si="5"/>
        <v>802459.4</v>
      </c>
      <c r="P119" s="65">
        <f t="shared" si="5"/>
        <v>878304.1500000001</v>
      </c>
      <c r="Q119" s="65">
        <f t="shared" si="5"/>
        <v>896209.4799999999</v>
      </c>
      <c r="R119" s="65">
        <f t="shared" si="5"/>
        <v>810432.48</v>
      </c>
      <c r="S119" s="64">
        <f t="shared" si="5"/>
        <v>691439.0299999999</v>
      </c>
      <c r="T119" s="16">
        <f>SUM(H119:S119)</f>
        <v>8884161.139999999</v>
      </c>
      <c r="U119" s="87"/>
      <c r="V119" s="87"/>
    </row>
    <row r="120" spans="1:22" ht="12.75">
      <c r="A120" s="24"/>
      <c r="B120" s="24"/>
      <c r="C120" s="24"/>
      <c r="D120" s="24"/>
      <c r="E120" s="24"/>
      <c r="F120" s="24"/>
      <c r="G120" s="24"/>
      <c r="H120" s="25"/>
      <c r="I120" s="25"/>
      <c r="J120" s="25"/>
      <c r="K120" s="25"/>
      <c r="L120" s="25"/>
      <c r="M120" s="25">
        <f>M119+M124</f>
        <v>1020887.3200000001</v>
      </c>
      <c r="N120" s="25"/>
      <c r="O120" s="25"/>
      <c r="P120" s="25"/>
      <c r="Q120" s="25"/>
      <c r="R120" s="25"/>
      <c r="S120" s="25">
        <f>S119+S122</f>
        <v>813514.21</v>
      </c>
      <c r="T120" s="26">
        <f>T119+T122</f>
        <v>10264703.69</v>
      </c>
      <c r="U120" s="26"/>
      <c r="V120" s="27"/>
    </row>
    <row r="121" spans="1:23" s="21" customFormat="1" ht="15">
      <c r="A121" s="95" t="s">
        <v>392</v>
      </c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7"/>
      <c r="W121" s="62">
        <f>SUM(T29:T118)</f>
        <v>8884161.14</v>
      </c>
    </row>
    <row r="122" spans="1:23" ht="25.5">
      <c r="A122" s="11" t="s">
        <v>143</v>
      </c>
      <c r="B122" s="11" t="s">
        <v>145</v>
      </c>
      <c r="C122" s="12" t="s">
        <v>118</v>
      </c>
      <c r="D122" s="13" t="s">
        <v>119</v>
      </c>
      <c r="E122" s="14">
        <v>43435</v>
      </c>
      <c r="F122" s="18" t="s">
        <v>13</v>
      </c>
      <c r="G122" s="14">
        <v>44165</v>
      </c>
      <c r="H122" s="15">
        <v>107796.87</v>
      </c>
      <c r="I122" s="15">
        <v>103371.67</v>
      </c>
      <c r="J122" s="15">
        <v>119384.33</v>
      </c>
      <c r="K122" s="15">
        <v>115119.35</v>
      </c>
      <c r="L122" s="15">
        <v>103878.59</v>
      </c>
      <c r="M122" s="15">
        <v>112209.59</v>
      </c>
      <c r="N122" s="15">
        <v>115746.28</v>
      </c>
      <c r="O122" s="15">
        <v>139050.53</v>
      </c>
      <c r="P122" s="15">
        <v>109815.39</v>
      </c>
      <c r="Q122" s="15">
        <v>126250.93</v>
      </c>
      <c r="R122" s="15">
        <v>105843.84</v>
      </c>
      <c r="S122" s="15">
        <v>122075.18</v>
      </c>
      <c r="T122" s="59">
        <f>SUM(H122:S122)</f>
        <v>1380542.55</v>
      </c>
      <c r="U122" s="17" t="s">
        <v>307</v>
      </c>
      <c r="V122" s="13" t="s">
        <v>121</v>
      </c>
      <c r="W122" s="63">
        <f>8376222.11-T119-T201-T129-T133</f>
        <v>-696439.0299999984</v>
      </c>
    </row>
    <row r="123" spans="1:22" ht="44.25" customHeight="1">
      <c r="A123" s="11" t="s">
        <v>143</v>
      </c>
      <c r="B123" s="11" t="s">
        <v>145</v>
      </c>
      <c r="C123" s="12" t="s">
        <v>93</v>
      </c>
      <c r="D123" s="13" t="s">
        <v>22</v>
      </c>
      <c r="E123" s="14">
        <v>43435</v>
      </c>
      <c r="F123" s="18" t="s">
        <v>35</v>
      </c>
      <c r="G123" s="14">
        <v>44165</v>
      </c>
      <c r="H123" s="15">
        <v>675.9</v>
      </c>
      <c r="I123" s="15">
        <v>675.9</v>
      </c>
      <c r="J123" s="15">
        <v>675.9</v>
      </c>
      <c r="K123" s="15">
        <v>675.9</v>
      </c>
      <c r="L123" s="15">
        <v>1500</v>
      </c>
      <c r="M123" s="15">
        <v>1500</v>
      </c>
      <c r="N123" s="15">
        <v>1500</v>
      </c>
      <c r="O123" s="15">
        <v>1500</v>
      </c>
      <c r="P123" s="15">
        <v>1500</v>
      </c>
      <c r="Q123" s="15">
        <v>1500</v>
      </c>
      <c r="R123" s="15">
        <v>1500</v>
      </c>
      <c r="S123" s="15">
        <v>1500</v>
      </c>
      <c r="T123" s="16">
        <f>SUM(H123:S123)</f>
        <v>14703.6</v>
      </c>
      <c r="U123" s="17" t="s">
        <v>313</v>
      </c>
      <c r="V123" s="13" t="s">
        <v>121</v>
      </c>
    </row>
    <row r="124" spans="1:22" ht="12.75">
      <c r="A124" s="81" t="s">
        <v>0</v>
      </c>
      <c r="B124" s="81"/>
      <c r="C124" s="81"/>
      <c r="D124" s="81"/>
      <c r="E124" s="81"/>
      <c r="F124" s="81"/>
      <c r="G124" s="81"/>
      <c r="H124" s="65">
        <f aca="true" t="shared" si="6" ref="H124:S124">SUM(H122:H123)</f>
        <v>108472.76999999999</v>
      </c>
      <c r="I124" s="65">
        <f t="shared" si="6"/>
        <v>104047.56999999999</v>
      </c>
      <c r="J124" s="65">
        <f t="shared" si="6"/>
        <v>120060.23</v>
      </c>
      <c r="K124" s="65">
        <f t="shared" si="6"/>
        <v>115795.25</v>
      </c>
      <c r="L124" s="65">
        <f t="shared" si="6"/>
        <v>105378.59</v>
      </c>
      <c r="M124" s="65">
        <f t="shared" si="6"/>
        <v>113709.59</v>
      </c>
      <c r="N124" s="65">
        <f t="shared" si="6"/>
        <v>117246.28</v>
      </c>
      <c r="O124" s="65">
        <f t="shared" si="6"/>
        <v>140550.53</v>
      </c>
      <c r="P124" s="65">
        <f t="shared" si="6"/>
        <v>111315.39</v>
      </c>
      <c r="Q124" s="65">
        <f t="shared" si="6"/>
        <v>127750.93</v>
      </c>
      <c r="R124" s="65">
        <f t="shared" si="6"/>
        <v>107343.84</v>
      </c>
      <c r="S124" s="64">
        <f t="shared" si="6"/>
        <v>123575.18</v>
      </c>
      <c r="T124" s="16">
        <f>SUM(H124:S124)</f>
        <v>1395246.15</v>
      </c>
      <c r="U124" s="87"/>
      <c r="V124" s="87"/>
    </row>
    <row r="125" spans="1:22" ht="12.75">
      <c r="A125" s="24"/>
      <c r="B125" s="24"/>
      <c r="C125" s="24"/>
      <c r="D125" s="24"/>
      <c r="E125" s="24"/>
      <c r="F125" s="24"/>
      <c r="G125" s="24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6"/>
      <c r="U125" s="26"/>
      <c r="V125" s="27"/>
    </row>
    <row r="126" spans="1:22" ht="12.75">
      <c r="A126" s="24"/>
      <c r="B126" s="24"/>
      <c r="C126" s="24"/>
      <c r="D126" s="24"/>
      <c r="E126" s="24"/>
      <c r="F126" s="24"/>
      <c r="G126" s="24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6"/>
      <c r="U126" s="26"/>
      <c r="V126" s="27"/>
    </row>
    <row r="127" spans="1:22" s="21" customFormat="1" ht="15">
      <c r="A127" s="95" t="s">
        <v>416</v>
      </c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7"/>
    </row>
    <row r="128" spans="1:22" ht="30" customHeight="1">
      <c r="A128" s="11" t="s">
        <v>143</v>
      </c>
      <c r="B128" s="11" t="s">
        <v>145</v>
      </c>
      <c r="C128" s="12" t="s">
        <v>354</v>
      </c>
      <c r="D128" s="13" t="s">
        <v>343</v>
      </c>
      <c r="E128" s="14">
        <v>43864</v>
      </c>
      <c r="F128" s="12" t="s">
        <v>352</v>
      </c>
      <c r="G128" s="14">
        <v>44196</v>
      </c>
      <c r="H128" s="15">
        <v>0</v>
      </c>
      <c r="I128" s="15">
        <v>0</v>
      </c>
      <c r="J128" s="15">
        <v>5000</v>
      </c>
      <c r="K128" s="15">
        <v>5000</v>
      </c>
      <c r="L128" s="15">
        <v>5000</v>
      </c>
      <c r="M128" s="15">
        <v>5000</v>
      </c>
      <c r="N128" s="15">
        <v>5000</v>
      </c>
      <c r="O128" s="15">
        <v>5000</v>
      </c>
      <c r="P128" s="15">
        <v>5000</v>
      </c>
      <c r="Q128" s="15">
        <v>0</v>
      </c>
      <c r="R128" s="15">
        <v>5000</v>
      </c>
      <c r="S128" s="15">
        <v>5000</v>
      </c>
      <c r="T128" s="16">
        <f>SUM(H128:S128)</f>
        <v>45000</v>
      </c>
      <c r="U128" s="17" t="s">
        <v>415</v>
      </c>
      <c r="V128" s="13" t="s">
        <v>121</v>
      </c>
    </row>
    <row r="129" spans="1:22" ht="12.75">
      <c r="A129" s="81" t="s">
        <v>0</v>
      </c>
      <c r="B129" s="81"/>
      <c r="C129" s="81"/>
      <c r="D129" s="81"/>
      <c r="E129" s="81"/>
      <c r="F129" s="81"/>
      <c r="G129" s="81"/>
      <c r="H129" s="65">
        <f aca="true" t="shared" si="7" ref="H129:S129">SUM(H128:H128)</f>
        <v>0</v>
      </c>
      <c r="I129" s="65">
        <f t="shared" si="7"/>
        <v>0</v>
      </c>
      <c r="J129" s="65">
        <f t="shared" si="7"/>
        <v>5000</v>
      </c>
      <c r="K129" s="65">
        <f t="shared" si="7"/>
        <v>5000</v>
      </c>
      <c r="L129" s="65">
        <f t="shared" si="7"/>
        <v>5000</v>
      </c>
      <c r="M129" s="65">
        <f t="shared" si="7"/>
        <v>5000</v>
      </c>
      <c r="N129" s="65">
        <f t="shared" si="7"/>
        <v>5000</v>
      </c>
      <c r="O129" s="65">
        <f t="shared" si="7"/>
        <v>5000</v>
      </c>
      <c r="P129" s="65">
        <f t="shared" si="7"/>
        <v>5000</v>
      </c>
      <c r="Q129" s="65">
        <f t="shared" si="7"/>
        <v>0</v>
      </c>
      <c r="R129" s="65">
        <f t="shared" si="7"/>
        <v>5000</v>
      </c>
      <c r="S129" s="65">
        <f t="shared" si="7"/>
        <v>5000</v>
      </c>
      <c r="T129" s="16">
        <f>SUM(H129:S129)</f>
        <v>45000</v>
      </c>
      <c r="U129" s="87"/>
      <c r="V129" s="87"/>
    </row>
    <row r="130" spans="1:22" ht="12.75">
      <c r="A130" s="24"/>
      <c r="B130" s="24"/>
      <c r="C130" s="24"/>
      <c r="D130" s="24"/>
      <c r="E130" s="24"/>
      <c r="F130" s="24"/>
      <c r="G130" s="24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6"/>
      <c r="U130" s="26"/>
      <c r="V130" s="27"/>
    </row>
    <row r="131" spans="1:22" ht="12.75">
      <c r="A131" s="24"/>
      <c r="B131" s="24"/>
      <c r="C131" s="24"/>
      <c r="D131" s="24"/>
      <c r="E131" s="24"/>
      <c r="F131" s="24"/>
      <c r="G131" s="24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6"/>
      <c r="U131" s="26"/>
      <c r="V131" s="27"/>
    </row>
    <row r="132" spans="1:22" s="21" customFormat="1" ht="15">
      <c r="A132" s="95" t="s">
        <v>417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7"/>
    </row>
    <row r="133" spans="1:22" ht="30" customHeight="1">
      <c r="A133" s="42" t="s">
        <v>336</v>
      </c>
      <c r="B133" s="42" t="s">
        <v>145</v>
      </c>
      <c r="C133" s="50" t="s">
        <v>300</v>
      </c>
      <c r="D133" s="44" t="s">
        <v>157</v>
      </c>
      <c r="E133" s="45">
        <v>43435</v>
      </c>
      <c r="F133" s="43" t="s">
        <v>116</v>
      </c>
      <c r="G133" s="45">
        <v>44165</v>
      </c>
      <c r="H133" s="46">
        <v>2500</v>
      </c>
      <c r="I133" s="46">
        <v>2500</v>
      </c>
      <c r="J133" s="46">
        <v>2500</v>
      </c>
      <c r="K133" s="46">
        <v>2500</v>
      </c>
      <c r="L133" s="46">
        <v>2500</v>
      </c>
      <c r="M133" s="46">
        <v>2500</v>
      </c>
      <c r="N133" s="46">
        <v>2500</v>
      </c>
      <c r="O133" s="46">
        <v>1500</v>
      </c>
      <c r="P133" s="46">
        <v>0</v>
      </c>
      <c r="Q133" s="46">
        <v>0</v>
      </c>
      <c r="R133" s="46">
        <v>0</v>
      </c>
      <c r="S133" s="46">
        <v>0</v>
      </c>
      <c r="T133" s="47">
        <f>SUM(H133:S133)</f>
        <v>19000</v>
      </c>
      <c r="U133" s="48" t="s">
        <v>307</v>
      </c>
      <c r="V133" s="44" t="s">
        <v>121</v>
      </c>
    </row>
    <row r="134" spans="1:22" ht="44.25" customHeight="1">
      <c r="A134" s="11" t="s">
        <v>143</v>
      </c>
      <c r="B134" s="11" t="s">
        <v>145</v>
      </c>
      <c r="C134" s="12" t="s">
        <v>418</v>
      </c>
      <c r="D134" s="13" t="s">
        <v>419</v>
      </c>
      <c r="E134" s="14">
        <v>44075</v>
      </c>
      <c r="F134" s="18" t="s">
        <v>116</v>
      </c>
      <c r="G134" s="14">
        <v>44439</v>
      </c>
      <c r="H134" s="15"/>
      <c r="I134" s="15"/>
      <c r="J134" s="15"/>
      <c r="K134" s="15"/>
      <c r="L134" s="15"/>
      <c r="M134" s="15"/>
      <c r="N134" s="15"/>
      <c r="O134" s="15"/>
      <c r="P134" s="15">
        <v>3000</v>
      </c>
      <c r="Q134" s="15">
        <v>3000</v>
      </c>
      <c r="R134" s="15">
        <v>3000</v>
      </c>
      <c r="S134" s="15">
        <v>3000</v>
      </c>
      <c r="T134" s="16">
        <f>SUM(H134:S134)</f>
        <v>12000</v>
      </c>
      <c r="U134" s="17" t="s">
        <v>313</v>
      </c>
      <c r="V134" s="13" t="s">
        <v>121</v>
      </c>
    </row>
    <row r="135" spans="1:22" ht="12.75">
      <c r="A135" s="81" t="s">
        <v>0</v>
      </c>
      <c r="B135" s="81"/>
      <c r="C135" s="81"/>
      <c r="D135" s="81"/>
      <c r="E135" s="81"/>
      <c r="F135" s="81"/>
      <c r="G135" s="81"/>
      <c r="H135" s="65">
        <f aca="true" t="shared" si="8" ref="H135:S135">SUM(H133:H134)</f>
        <v>2500</v>
      </c>
      <c r="I135" s="65">
        <f t="shared" si="8"/>
        <v>2500</v>
      </c>
      <c r="J135" s="65">
        <f t="shared" si="8"/>
        <v>2500</v>
      </c>
      <c r="K135" s="65">
        <f t="shared" si="8"/>
        <v>2500</v>
      </c>
      <c r="L135" s="65">
        <f t="shared" si="8"/>
        <v>2500</v>
      </c>
      <c r="M135" s="65">
        <f t="shared" si="8"/>
        <v>2500</v>
      </c>
      <c r="N135" s="65">
        <f t="shared" si="8"/>
        <v>2500</v>
      </c>
      <c r="O135" s="65">
        <f t="shared" si="8"/>
        <v>1500</v>
      </c>
      <c r="P135" s="65">
        <f t="shared" si="8"/>
        <v>3000</v>
      </c>
      <c r="Q135" s="65">
        <f t="shared" si="8"/>
        <v>3000</v>
      </c>
      <c r="R135" s="65">
        <f t="shared" si="8"/>
        <v>3000</v>
      </c>
      <c r="S135" s="65">
        <f t="shared" si="8"/>
        <v>3000</v>
      </c>
      <c r="T135" s="16">
        <f>SUM(H135:S135)</f>
        <v>31000</v>
      </c>
      <c r="U135" s="87"/>
      <c r="V135" s="87"/>
    </row>
    <row r="136" spans="1:22" ht="12.75">
      <c r="A136" s="24"/>
      <c r="B136" s="24"/>
      <c r="C136" s="24"/>
      <c r="D136" s="24"/>
      <c r="E136" s="24"/>
      <c r="F136" s="24"/>
      <c r="G136" s="24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6"/>
      <c r="U136" s="26"/>
      <c r="V136" s="27"/>
    </row>
    <row r="137" spans="1:22" ht="12.75">
      <c r="A137" s="24"/>
      <c r="B137" s="24"/>
      <c r="C137" s="24"/>
      <c r="D137" s="24"/>
      <c r="E137" s="24"/>
      <c r="F137" s="24"/>
      <c r="G137" s="24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6"/>
      <c r="U137" s="26"/>
      <c r="V137" s="27"/>
    </row>
    <row r="138" spans="1:22" ht="12.75">
      <c r="A138" s="24"/>
      <c r="B138" s="24"/>
      <c r="C138" s="24"/>
      <c r="D138" s="24"/>
      <c r="E138" s="24"/>
      <c r="F138" s="24"/>
      <c r="G138" s="24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6"/>
      <c r="U138" s="26"/>
      <c r="V138" s="27"/>
    </row>
    <row r="139" spans="1:22" ht="12.75">
      <c r="A139" s="24"/>
      <c r="B139" s="24"/>
      <c r="C139" s="24"/>
      <c r="D139" s="24"/>
      <c r="E139" s="24"/>
      <c r="F139" s="24"/>
      <c r="G139" s="24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6"/>
      <c r="U139" s="26"/>
      <c r="V139" s="27"/>
    </row>
    <row r="140" spans="1:22" s="21" customFormat="1" ht="15">
      <c r="A140" s="95" t="s">
        <v>393</v>
      </c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7"/>
    </row>
    <row r="141" spans="1:22" ht="25.5">
      <c r="A141" s="11" t="s">
        <v>143</v>
      </c>
      <c r="B141" s="11" t="s">
        <v>145</v>
      </c>
      <c r="C141" s="12" t="s">
        <v>410</v>
      </c>
      <c r="D141" s="13" t="s">
        <v>108</v>
      </c>
      <c r="E141" s="14" t="s">
        <v>296</v>
      </c>
      <c r="F141" s="18" t="s">
        <v>10</v>
      </c>
      <c r="G141" s="14">
        <v>44165</v>
      </c>
      <c r="H141" s="15">
        <v>636.25</v>
      </c>
      <c r="I141" s="15">
        <v>636.25</v>
      </c>
      <c r="J141" s="15">
        <v>636.25</v>
      </c>
      <c r="K141" s="15">
        <v>636.25</v>
      </c>
      <c r="L141" s="15">
        <v>636.25</v>
      </c>
      <c r="M141" s="15">
        <v>636.25</v>
      </c>
      <c r="N141" s="15">
        <v>636.25</v>
      </c>
      <c r="O141" s="15">
        <v>636.25</v>
      </c>
      <c r="P141" s="15">
        <v>636.25</v>
      </c>
      <c r="Q141" s="15">
        <v>636.25</v>
      </c>
      <c r="R141" s="15">
        <v>636.25</v>
      </c>
      <c r="S141" s="15">
        <v>636.25</v>
      </c>
      <c r="T141" s="16">
        <f>SUM(H141:S141)</f>
        <v>7635</v>
      </c>
      <c r="U141" s="17" t="s">
        <v>310</v>
      </c>
      <c r="V141" s="13" t="s">
        <v>121</v>
      </c>
    </row>
    <row r="142" spans="1:22" ht="38.25">
      <c r="A142" s="42" t="s">
        <v>387</v>
      </c>
      <c r="B142" s="42" t="s">
        <v>145</v>
      </c>
      <c r="C142" s="43" t="s">
        <v>357</v>
      </c>
      <c r="D142" s="44" t="s">
        <v>356</v>
      </c>
      <c r="E142" s="45">
        <v>43983</v>
      </c>
      <c r="F142" s="49" t="s">
        <v>388</v>
      </c>
      <c r="G142" s="45">
        <v>44072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8625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/>
      <c r="T142" s="47">
        <f>SUM(H142:S142)</f>
        <v>8625</v>
      </c>
      <c r="U142" s="48" t="s">
        <v>355</v>
      </c>
      <c r="V142" s="44" t="s">
        <v>121</v>
      </c>
    </row>
    <row r="143" spans="1:22" ht="12.75">
      <c r="A143" s="81"/>
      <c r="B143" s="81"/>
      <c r="C143" s="81"/>
      <c r="D143" s="81"/>
      <c r="E143" s="81"/>
      <c r="F143" s="81"/>
      <c r="G143" s="81"/>
      <c r="H143" s="65">
        <f aca="true" t="shared" si="9" ref="H143:M143">SUM(H141:H142)</f>
        <v>636.25</v>
      </c>
      <c r="I143" s="65">
        <f t="shared" si="9"/>
        <v>636.25</v>
      </c>
      <c r="J143" s="65">
        <f t="shared" si="9"/>
        <v>636.25</v>
      </c>
      <c r="K143" s="65">
        <f t="shared" si="9"/>
        <v>636.25</v>
      </c>
      <c r="L143" s="65">
        <f t="shared" si="9"/>
        <v>636.25</v>
      </c>
      <c r="M143" s="65">
        <f t="shared" si="9"/>
        <v>9261.25</v>
      </c>
      <c r="N143" s="65">
        <f aca="true" t="shared" si="10" ref="N143:S143">SUM(N141:N141)</f>
        <v>636.25</v>
      </c>
      <c r="O143" s="65">
        <f t="shared" si="10"/>
        <v>636.25</v>
      </c>
      <c r="P143" s="65">
        <f t="shared" si="10"/>
        <v>636.25</v>
      </c>
      <c r="Q143" s="65">
        <f t="shared" si="10"/>
        <v>636.25</v>
      </c>
      <c r="R143" s="65">
        <f t="shared" si="10"/>
        <v>636.25</v>
      </c>
      <c r="S143" s="65">
        <f t="shared" si="10"/>
        <v>636.25</v>
      </c>
      <c r="T143" s="16">
        <f>SUM(H143:S143)</f>
        <v>16260</v>
      </c>
      <c r="U143" s="87"/>
      <c r="V143" s="87"/>
    </row>
    <row r="144" spans="1:22" ht="12.75">
      <c r="A144" s="24"/>
      <c r="B144" s="24"/>
      <c r="C144" s="24"/>
      <c r="D144" s="24"/>
      <c r="E144" s="24"/>
      <c r="F144" s="24"/>
      <c r="G144" s="24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6"/>
      <c r="U144" s="26"/>
      <c r="V144" s="27"/>
    </row>
    <row r="145" spans="1:22" s="21" customFormat="1" ht="15">
      <c r="A145" s="95" t="s">
        <v>394</v>
      </c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7"/>
    </row>
    <row r="146" spans="1:22" ht="25.5">
      <c r="A146" s="11" t="s">
        <v>143</v>
      </c>
      <c r="B146" s="11" t="s">
        <v>145</v>
      </c>
      <c r="C146" s="12" t="s">
        <v>179</v>
      </c>
      <c r="D146" s="13" t="s">
        <v>197</v>
      </c>
      <c r="E146" s="14">
        <v>43466</v>
      </c>
      <c r="F146" s="18" t="s">
        <v>34</v>
      </c>
      <c r="G146" s="14">
        <v>44196</v>
      </c>
      <c r="H146" s="15">
        <v>84</v>
      </c>
      <c r="I146" s="15">
        <v>84</v>
      </c>
      <c r="J146" s="15">
        <v>84</v>
      </c>
      <c r="K146" s="15">
        <v>84</v>
      </c>
      <c r="L146" s="15">
        <v>84</v>
      </c>
      <c r="M146" s="15">
        <v>84</v>
      </c>
      <c r="N146" s="15">
        <v>84</v>
      </c>
      <c r="O146" s="15">
        <v>84</v>
      </c>
      <c r="P146" s="15">
        <v>84</v>
      </c>
      <c r="Q146" s="15">
        <v>84</v>
      </c>
      <c r="R146" s="15">
        <v>84</v>
      </c>
      <c r="S146" s="15">
        <v>84</v>
      </c>
      <c r="T146" s="16">
        <f>SUM(H146:S146)</f>
        <v>1008</v>
      </c>
      <c r="U146" s="17" t="s">
        <v>307</v>
      </c>
      <c r="V146" s="13" t="s">
        <v>121</v>
      </c>
    </row>
    <row r="147" spans="1:22" ht="25.5">
      <c r="A147" s="11" t="s">
        <v>143</v>
      </c>
      <c r="B147" s="11" t="s">
        <v>145</v>
      </c>
      <c r="C147" s="12" t="s">
        <v>331</v>
      </c>
      <c r="D147" s="13" t="s">
        <v>332</v>
      </c>
      <c r="E147" s="14">
        <v>43885</v>
      </c>
      <c r="F147" s="18" t="s">
        <v>9</v>
      </c>
      <c r="G147" s="14">
        <v>44251</v>
      </c>
      <c r="H147" s="15">
        <v>0</v>
      </c>
      <c r="I147" s="15">
        <v>3438.62</v>
      </c>
      <c r="J147" s="15">
        <v>16620</v>
      </c>
      <c r="K147" s="15">
        <v>16620</v>
      </c>
      <c r="L147" s="15">
        <v>16620</v>
      </c>
      <c r="M147" s="15">
        <v>16620</v>
      </c>
      <c r="N147" s="15">
        <v>16620</v>
      </c>
      <c r="O147" s="15">
        <v>16620</v>
      </c>
      <c r="P147" s="15">
        <v>16620</v>
      </c>
      <c r="Q147" s="15">
        <v>16620</v>
      </c>
      <c r="R147" s="15">
        <v>16620</v>
      </c>
      <c r="S147" s="15">
        <v>16620</v>
      </c>
      <c r="T147" s="16">
        <f>SUM(H147:S147)</f>
        <v>169638.62</v>
      </c>
      <c r="U147" s="17" t="s">
        <v>308</v>
      </c>
      <c r="V147" s="13" t="s">
        <v>121</v>
      </c>
    </row>
    <row r="148" spans="1:22" s="52" customFormat="1" ht="25.5">
      <c r="A148" s="42" t="s">
        <v>336</v>
      </c>
      <c r="B148" s="42" t="s">
        <v>145</v>
      </c>
      <c r="C148" s="43" t="s">
        <v>37</v>
      </c>
      <c r="D148" s="44" t="s">
        <v>140</v>
      </c>
      <c r="E148" s="45">
        <v>43435</v>
      </c>
      <c r="F148" s="49" t="s">
        <v>9</v>
      </c>
      <c r="G148" s="45">
        <v>43882</v>
      </c>
      <c r="H148" s="46">
        <v>19077</v>
      </c>
      <c r="I148" s="46">
        <v>15787.86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7">
        <f>SUM(H148:S148)</f>
        <v>34864.86</v>
      </c>
      <c r="U148" s="48" t="s">
        <v>308</v>
      </c>
      <c r="V148" s="44" t="s">
        <v>121</v>
      </c>
    </row>
    <row r="149" spans="1:22" ht="12.75">
      <c r="A149" s="81" t="s">
        <v>0</v>
      </c>
      <c r="B149" s="81"/>
      <c r="C149" s="81"/>
      <c r="D149" s="81"/>
      <c r="E149" s="81"/>
      <c r="F149" s="81"/>
      <c r="G149" s="81"/>
      <c r="H149" s="65">
        <f aca="true" t="shared" si="11" ref="H149:S149">SUM(H146:H148)</f>
        <v>19161</v>
      </c>
      <c r="I149" s="65">
        <f t="shared" si="11"/>
        <v>19310.48</v>
      </c>
      <c r="J149" s="65">
        <f t="shared" si="11"/>
        <v>16704</v>
      </c>
      <c r="K149" s="65">
        <f>SUM(K146:K148)</f>
        <v>16704</v>
      </c>
      <c r="L149" s="65">
        <f t="shared" si="11"/>
        <v>16704</v>
      </c>
      <c r="M149" s="65">
        <f t="shared" si="11"/>
        <v>16704</v>
      </c>
      <c r="N149" s="65">
        <f t="shared" si="11"/>
        <v>16704</v>
      </c>
      <c r="O149" s="65">
        <f t="shared" si="11"/>
        <v>16704</v>
      </c>
      <c r="P149" s="65">
        <f t="shared" si="11"/>
        <v>16704</v>
      </c>
      <c r="Q149" s="65">
        <f t="shared" si="11"/>
        <v>16704</v>
      </c>
      <c r="R149" s="65">
        <f t="shared" si="11"/>
        <v>16704</v>
      </c>
      <c r="S149" s="65">
        <f t="shared" si="11"/>
        <v>16704</v>
      </c>
      <c r="T149" s="16">
        <f>SUM(H149:S149)</f>
        <v>205511.47999999998</v>
      </c>
      <c r="U149" s="87"/>
      <c r="V149" s="87"/>
    </row>
    <row r="150" spans="1:22" ht="12.75">
      <c r="A150" s="24"/>
      <c r="B150" s="24"/>
      <c r="C150" s="24"/>
      <c r="D150" s="24"/>
      <c r="E150" s="24"/>
      <c r="F150" s="24"/>
      <c r="G150" s="24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6"/>
      <c r="U150" s="26"/>
      <c r="V150" s="28"/>
    </row>
    <row r="151" spans="1:22" s="21" customFormat="1" ht="12.75">
      <c r="A151" s="83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5"/>
    </row>
    <row r="152" spans="1:22" s="52" customFormat="1" ht="25.5">
      <c r="A152" s="42" t="s">
        <v>336</v>
      </c>
      <c r="B152" s="42" t="s">
        <v>365</v>
      </c>
      <c r="C152" s="43" t="s">
        <v>288</v>
      </c>
      <c r="D152" s="44" t="s">
        <v>289</v>
      </c>
      <c r="E152" s="45">
        <v>43525</v>
      </c>
      <c r="F152" s="50" t="s">
        <v>290</v>
      </c>
      <c r="G152" s="45">
        <v>43890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7">
        <f>SUM(H152:S152)</f>
        <v>0</v>
      </c>
      <c r="U152" s="48" t="s">
        <v>314</v>
      </c>
      <c r="V152" s="44" t="s">
        <v>121</v>
      </c>
    </row>
    <row r="153" spans="1:22" ht="12.75">
      <c r="A153" s="81" t="s">
        <v>0</v>
      </c>
      <c r="B153" s="81"/>
      <c r="C153" s="81"/>
      <c r="D153" s="81"/>
      <c r="E153" s="81"/>
      <c r="F153" s="81"/>
      <c r="G153" s="81"/>
      <c r="H153" s="65">
        <f>SUM(H152)</f>
        <v>0</v>
      </c>
      <c r="I153" s="65">
        <f aca="true" t="shared" si="12" ref="I153:S153">SUM(I152)</f>
        <v>0</v>
      </c>
      <c r="J153" s="65">
        <f t="shared" si="12"/>
        <v>0</v>
      </c>
      <c r="K153" s="65">
        <f t="shared" si="12"/>
        <v>0</v>
      </c>
      <c r="L153" s="65">
        <f t="shared" si="12"/>
        <v>0</v>
      </c>
      <c r="M153" s="65">
        <f t="shared" si="12"/>
        <v>0</v>
      </c>
      <c r="N153" s="65">
        <f t="shared" si="12"/>
        <v>0</v>
      </c>
      <c r="O153" s="65">
        <f t="shared" si="12"/>
        <v>0</v>
      </c>
      <c r="P153" s="65">
        <f t="shared" si="12"/>
        <v>0</v>
      </c>
      <c r="Q153" s="65">
        <f t="shared" si="12"/>
        <v>0</v>
      </c>
      <c r="R153" s="65">
        <f t="shared" si="12"/>
        <v>0</v>
      </c>
      <c r="S153" s="65">
        <f t="shared" si="12"/>
        <v>0</v>
      </c>
      <c r="T153" s="16">
        <f>SUM(H153:S153)</f>
        <v>0</v>
      </c>
      <c r="U153" s="87"/>
      <c r="V153" s="87"/>
    </row>
    <row r="154" spans="1:22" ht="12.75">
      <c r="A154" s="24"/>
      <c r="B154" s="24"/>
      <c r="C154" s="24"/>
      <c r="D154" s="24"/>
      <c r="E154" s="24"/>
      <c r="F154" s="24"/>
      <c r="G154" s="24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6"/>
      <c r="U154" s="26"/>
      <c r="V154" s="27"/>
    </row>
    <row r="155" spans="1:22" s="21" customFormat="1" ht="15">
      <c r="A155" s="95" t="s">
        <v>395</v>
      </c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7"/>
    </row>
    <row r="156" spans="1:22" ht="63.75">
      <c r="A156" s="11" t="s">
        <v>143</v>
      </c>
      <c r="B156" s="11" t="s">
        <v>146</v>
      </c>
      <c r="C156" s="12" t="s">
        <v>32</v>
      </c>
      <c r="D156" s="13" t="s">
        <v>95</v>
      </c>
      <c r="E156" s="14" t="s">
        <v>206</v>
      </c>
      <c r="F156" s="18" t="s">
        <v>33</v>
      </c>
      <c r="G156" s="14" t="s">
        <v>206</v>
      </c>
      <c r="H156" s="15">
        <v>6708.48</v>
      </c>
      <c r="I156" s="15">
        <v>9771.32</v>
      </c>
      <c r="J156" s="15">
        <v>9132.14</v>
      </c>
      <c r="K156" s="15">
        <v>8558.54</v>
      </c>
      <c r="L156" s="15">
        <v>4075.5</v>
      </c>
      <c r="M156" s="15">
        <v>4075.5</v>
      </c>
      <c r="N156" s="15">
        <v>4075.5</v>
      </c>
      <c r="O156" s="15">
        <v>4075.5</v>
      </c>
      <c r="P156" s="15">
        <v>5524.57</v>
      </c>
      <c r="Q156" s="15">
        <v>2683.62</v>
      </c>
      <c r="R156" s="15">
        <f>957.92+287.38</f>
        <v>1245.3</v>
      </c>
      <c r="S156" s="15">
        <v>6825.88</v>
      </c>
      <c r="T156" s="16">
        <f>SUM(H156:S156)</f>
        <v>66751.85</v>
      </c>
      <c r="U156" s="17" t="s">
        <v>307</v>
      </c>
      <c r="V156" s="13" t="s">
        <v>121</v>
      </c>
    </row>
    <row r="157" spans="1:22" ht="25.5">
      <c r="A157" s="11" t="s">
        <v>143</v>
      </c>
      <c r="B157" s="11" t="s">
        <v>145</v>
      </c>
      <c r="C157" s="12" t="s">
        <v>263</v>
      </c>
      <c r="D157" s="13" t="s">
        <v>264</v>
      </c>
      <c r="E157" s="14">
        <v>43556</v>
      </c>
      <c r="F157" s="18" t="s">
        <v>265</v>
      </c>
      <c r="G157" s="14">
        <v>43921</v>
      </c>
      <c r="H157" s="15">
        <v>700</v>
      </c>
      <c r="I157" s="15">
        <v>700</v>
      </c>
      <c r="J157" s="15">
        <v>700</v>
      </c>
      <c r="K157" s="15">
        <v>170</v>
      </c>
      <c r="L157" s="15">
        <v>170</v>
      </c>
      <c r="M157" s="15">
        <v>170</v>
      </c>
      <c r="N157" s="15">
        <v>170</v>
      </c>
      <c r="O157" s="15">
        <v>170</v>
      </c>
      <c r="P157" s="15">
        <v>170</v>
      </c>
      <c r="Q157" s="15">
        <v>170</v>
      </c>
      <c r="R157" s="15">
        <v>170</v>
      </c>
      <c r="S157" s="15">
        <v>170</v>
      </c>
      <c r="T157" s="16">
        <f>SUM(H157:S157)</f>
        <v>3630</v>
      </c>
      <c r="U157" s="17" t="s">
        <v>307</v>
      </c>
      <c r="V157" s="13" t="s">
        <v>121</v>
      </c>
    </row>
    <row r="158" spans="1:22" ht="25.5">
      <c r="A158" s="11" t="s">
        <v>143</v>
      </c>
      <c r="B158" s="22" t="s">
        <v>366</v>
      </c>
      <c r="C158" s="12" t="s">
        <v>367</v>
      </c>
      <c r="D158" s="13" t="s">
        <v>402</v>
      </c>
      <c r="E158" s="14">
        <v>44013</v>
      </c>
      <c r="F158" s="18" t="s">
        <v>403</v>
      </c>
      <c r="G158" s="14">
        <v>44377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510</v>
      </c>
      <c r="O158" s="15">
        <v>372</v>
      </c>
      <c r="P158" s="15">
        <v>382.5</v>
      </c>
      <c r="Q158" s="15">
        <v>450</v>
      </c>
      <c r="R158" s="15">
        <v>450</v>
      </c>
      <c r="S158" s="15">
        <v>432</v>
      </c>
      <c r="T158" s="16">
        <f>SUM(H158:S158)</f>
        <v>2596.5</v>
      </c>
      <c r="U158" s="17" t="s">
        <v>314</v>
      </c>
      <c r="V158" s="13" t="s">
        <v>121</v>
      </c>
    </row>
    <row r="159" spans="1:22" ht="25.5">
      <c r="A159" s="11" t="s">
        <v>143</v>
      </c>
      <c r="B159" s="22" t="s">
        <v>301</v>
      </c>
      <c r="C159" s="12" t="s">
        <v>200</v>
      </c>
      <c r="D159" s="13" t="s">
        <v>302</v>
      </c>
      <c r="E159" s="14">
        <v>43435</v>
      </c>
      <c r="F159" s="18" t="s">
        <v>201</v>
      </c>
      <c r="G159" s="14">
        <v>44165</v>
      </c>
      <c r="H159" s="15">
        <v>541.5</v>
      </c>
      <c r="I159" s="15">
        <v>601.71</v>
      </c>
      <c r="J159" s="15">
        <v>541.5</v>
      </c>
      <c r="K159" s="15">
        <v>0</v>
      </c>
      <c r="L159" s="15">
        <v>0</v>
      </c>
      <c r="M159" s="15">
        <f>541.5+60.21</f>
        <v>601.71</v>
      </c>
      <c r="N159" s="15">
        <v>120.42</v>
      </c>
      <c r="O159" s="15">
        <v>601.71</v>
      </c>
      <c r="P159" s="15">
        <f>541.5+60.21</f>
        <v>601.71</v>
      </c>
      <c r="Q159" s="15">
        <v>0</v>
      </c>
      <c r="R159" s="15">
        <f>541.5+120.42+60.21</f>
        <v>722.13</v>
      </c>
      <c r="S159" s="15">
        <f>75.95+683</f>
        <v>758.95</v>
      </c>
      <c r="T159" s="16">
        <f>SUM(H159:S159)</f>
        <v>5091.34</v>
      </c>
      <c r="U159" s="17" t="s">
        <v>314</v>
      </c>
      <c r="V159" s="13" t="s">
        <v>121</v>
      </c>
    </row>
    <row r="160" spans="1:22" ht="12.75">
      <c r="A160" s="81" t="s">
        <v>0</v>
      </c>
      <c r="B160" s="81"/>
      <c r="C160" s="81"/>
      <c r="D160" s="81"/>
      <c r="E160" s="81"/>
      <c r="F160" s="81"/>
      <c r="G160" s="81"/>
      <c r="H160" s="65">
        <f>SUM(H156:H159)</f>
        <v>7949.98</v>
      </c>
      <c r="I160" s="65">
        <f aca="true" t="shared" si="13" ref="I160:S160">SUM(I156:I159)</f>
        <v>11073.029999999999</v>
      </c>
      <c r="J160" s="65">
        <f t="shared" si="13"/>
        <v>10373.64</v>
      </c>
      <c r="K160" s="65">
        <f t="shared" si="13"/>
        <v>8728.54</v>
      </c>
      <c r="L160" s="65">
        <f t="shared" si="13"/>
        <v>4245.5</v>
      </c>
      <c r="M160" s="65">
        <f t="shared" si="13"/>
        <v>4847.21</v>
      </c>
      <c r="N160" s="65">
        <f t="shared" si="13"/>
        <v>4875.92</v>
      </c>
      <c r="O160" s="65">
        <f t="shared" si="13"/>
        <v>5219.21</v>
      </c>
      <c r="P160" s="65">
        <f t="shared" si="13"/>
        <v>6678.78</v>
      </c>
      <c r="Q160" s="65">
        <f t="shared" si="13"/>
        <v>3303.62</v>
      </c>
      <c r="R160" s="65">
        <f t="shared" si="13"/>
        <v>2587.43</v>
      </c>
      <c r="S160" s="65">
        <f t="shared" si="13"/>
        <v>8186.83</v>
      </c>
      <c r="T160" s="16">
        <f>SUM(H160:S160)</f>
        <v>78069.68999999999</v>
      </c>
      <c r="U160" s="87"/>
      <c r="V160" s="87"/>
    </row>
    <row r="161" spans="1:22" ht="12.75">
      <c r="A161" s="24"/>
      <c r="B161" s="24"/>
      <c r="C161" s="24"/>
      <c r="D161" s="24"/>
      <c r="E161" s="24"/>
      <c r="F161" s="24"/>
      <c r="G161" s="24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6"/>
      <c r="U161" s="26"/>
      <c r="V161" s="27"/>
    </row>
    <row r="162" spans="1:22" s="21" customFormat="1" ht="15">
      <c r="A162" s="95" t="s">
        <v>396</v>
      </c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7"/>
    </row>
    <row r="163" spans="1:22" ht="25.5">
      <c r="A163" s="13" t="s">
        <v>143</v>
      </c>
      <c r="B163" s="13" t="s">
        <v>145</v>
      </c>
      <c r="C163" s="12" t="s">
        <v>132</v>
      </c>
      <c r="D163" s="13" t="s">
        <v>131</v>
      </c>
      <c r="E163" s="14">
        <v>43450</v>
      </c>
      <c r="F163" s="29" t="s">
        <v>36</v>
      </c>
      <c r="G163" s="14">
        <v>44180</v>
      </c>
      <c r="H163" s="15">
        <v>0</v>
      </c>
      <c r="I163" s="15">
        <v>0</v>
      </c>
      <c r="J163" s="15">
        <v>0</v>
      </c>
      <c r="K163" s="15">
        <v>0</v>
      </c>
      <c r="L163" s="15">
        <v>1152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1015.2</v>
      </c>
      <c r="T163" s="16">
        <f>SUM(H163:S163)</f>
        <v>2167.2</v>
      </c>
      <c r="U163" s="17" t="s">
        <v>309</v>
      </c>
      <c r="V163" s="13" t="s">
        <v>121</v>
      </c>
    </row>
    <row r="164" spans="1:22" ht="12.75">
      <c r="A164" s="88" t="s">
        <v>0</v>
      </c>
      <c r="B164" s="89"/>
      <c r="C164" s="89"/>
      <c r="D164" s="89"/>
      <c r="E164" s="89"/>
      <c r="F164" s="89"/>
      <c r="G164" s="90"/>
      <c r="H164" s="65">
        <f>SUM(H163:H163)</f>
        <v>0</v>
      </c>
      <c r="I164" s="65">
        <f aca="true" t="shared" si="14" ref="I164:S164">SUM(I163:I163)</f>
        <v>0</v>
      </c>
      <c r="J164" s="65">
        <f t="shared" si="14"/>
        <v>0</v>
      </c>
      <c r="K164" s="65">
        <f t="shared" si="14"/>
        <v>0</v>
      </c>
      <c r="L164" s="65">
        <f t="shared" si="14"/>
        <v>1152</v>
      </c>
      <c r="M164" s="65">
        <f t="shared" si="14"/>
        <v>0</v>
      </c>
      <c r="N164" s="65">
        <f t="shared" si="14"/>
        <v>0</v>
      </c>
      <c r="O164" s="65">
        <f t="shared" si="14"/>
        <v>0</v>
      </c>
      <c r="P164" s="65">
        <f t="shared" si="14"/>
        <v>0</v>
      </c>
      <c r="Q164" s="65">
        <f t="shared" si="14"/>
        <v>0</v>
      </c>
      <c r="R164" s="65">
        <f t="shared" si="14"/>
        <v>0</v>
      </c>
      <c r="S164" s="65">
        <f t="shared" si="14"/>
        <v>1015.2</v>
      </c>
      <c r="T164" s="16">
        <f>SUM(H164:S164)</f>
        <v>2167.2</v>
      </c>
      <c r="U164" s="87"/>
      <c r="V164" s="87"/>
    </row>
    <row r="165" spans="1:22" ht="12.75">
      <c r="A165" s="30"/>
      <c r="B165" s="30"/>
      <c r="C165" s="31"/>
      <c r="D165" s="28"/>
      <c r="E165" s="28"/>
      <c r="F165" s="32"/>
      <c r="G165" s="28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6"/>
      <c r="U165" s="26"/>
      <c r="V165" s="27"/>
    </row>
    <row r="166" spans="1:22" s="21" customFormat="1" ht="15">
      <c r="A166" s="95" t="s">
        <v>397</v>
      </c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7"/>
    </row>
    <row r="167" spans="1:22" ht="25.5">
      <c r="A167" s="11" t="s">
        <v>143</v>
      </c>
      <c r="B167" s="13" t="s">
        <v>145</v>
      </c>
      <c r="C167" s="12" t="s">
        <v>178</v>
      </c>
      <c r="D167" s="13" t="s">
        <v>205</v>
      </c>
      <c r="E167" s="14">
        <v>43467</v>
      </c>
      <c r="F167" s="12" t="s">
        <v>12</v>
      </c>
      <c r="G167" s="14">
        <v>43831</v>
      </c>
      <c r="H167" s="15">
        <v>7431.99</v>
      </c>
      <c r="I167" s="15">
        <v>7594.02</v>
      </c>
      <c r="J167" s="15">
        <v>7024.22</v>
      </c>
      <c r="K167" s="15">
        <v>3879.1</v>
      </c>
      <c r="L167" s="15">
        <v>7379.74</v>
      </c>
      <c r="M167" s="15">
        <v>9113.12</v>
      </c>
      <c r="N167" s="15">
        <v>8259.96</v>
      </c>
      <c r="O167" s="15">
        <v>9037.11</v>
      </c>
      <c r="P167" s="15">
        <v>9276.69</v>
      </c>
      <c r="Q167" s="15">
        <v>8856.6</v>
      </c>
      <c r="R167" s="15">
        <v>8052.66</v>
      </c>
      <c r="S167" s="15">
        <v>6651.98</v>
      </c>
      <c r="T167" s="16">
        <f>SUM(H167:S167)</f>
        <v>92557.19</v>
      </c>
      <c r="U167" s="17" t="s">
        <v>307</v>
      </c>
      <c r="V167" s="13" t="s">
        <v>121</v>
      </c>
    </row>
    <row r="168" spans="1:22" ht="12.75">
      <c r="A168" s="88" t="s">
        <v>0</v>
      </c>
      <c r="B168" s="89"/>
      <c r="C168" s="89"/>
      <c r="D168" s="89"/>
      <c r="E168" s="89"/>
      <c r="F168" s="89"/>
      <c r="G168" s="90"/>
      <c r="H168" s="65">
        <f aca="true" t="shared" si="15" ref="H168:S168">SUM(H167:H167)</f>
        <v>7431.99</v>
      </c>
      <c r="I168" s="65">
        <f t="shared" si="15"/>
        <v>7594.02</v>
      </c>
      <c r="J168" s="65">
        <f t="shared" si="15"/>
        <v>7024.22</v>
      </c>
      <c r="K168" s="65">
        <f t="shared" si="15"/>
        <v>3879.1</v>
      </c>
      <c r="L168" s="65">
        <f t="shared" si="15"/>
        <v>7379.74</v>
      </c>
      <c r="M168" s="65">
        <f t="shared" si="15"/>
        <v>9113.12</v>
      </c>
      <c r="N168" s="65">
        <f t="shared" si="15"/>
        <v>8259.96</v>
      </c>
      <c r="O168" s="65">
        <f t="shared" si="15"/>
        <v>9037.11</v>
      </c>
      <c r="P168" s="65">
        <f t="shared" si="15"/>
        <v>9276.69</v>
      </c>
      <c r="Q168" s="65">
        <f t="shared" si="15"/>
        <v>8856.6</v>
      </c>
      <c r="R168" s="65">
        <f t="shared" si="15"/>
        <v>8052.66</v>
      </c>
      <c r="S168" s="65">
        <f t="shared" si="15"/>
        <v>6651.98</v>
      </c>
      <c r="T168" s="16">
        <f>SUM(H168:S168)</f>
        <v>92557.19</v>
      </c>
      <c r="U168" s="87"/>
      <c r="V168" s="87"/>
    </row>
    <row r="169" spans="1:22" ht="12.75">
      <c r="A169" s="30"/>
      <c r="B169" s="30"/>
      <c r="C169" s="31"/>
      <c r="D169" s="28"/>
      <c r="E169" s="28"/>
      <c r="F169" s="32"/>
      <c r="G169" s="28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6"/>
      <c r="U169" s="26"/>
      <c r="V169" s="27"/>
    </row>
    <row r="170" spans="1:22" s="21" customFormat="1" ht="15">
      <c r="A170" s="95" t="s">
        <v>398</v>
      </c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7"/>
    </row>
    <row r="171" spans="1:22" ht="25.5">
      <c r="A171" s="11" t="s">
        <v>143</v>
      </c>
      <c r="B171" s="13" t="s">
        <v>145</v>
      </c>
      <c r="C171" s="12" t="s">
        <v>272</v>
      </c>
      <c r="D171" s="13" t="s">
        <v>273</v>
      </c>
      <c r="E171" s="14">
        <v>43617</v>
      </c>
      <c r="F171" s="12" t="s">
        <v>318</v>
      </c>
      <c r="G171" s="14">
        <v>43983</v>
      </c>
      <c r="H171" s="15">
        <v>2666.67</v>
      </c>
      <c r="I171" s="15">
        <v>2666.67</v>
      </c>
      <c r="J171" s="15">
        <v>2666.67</v>
      </c>
      <c r="K171" s="15">
        <v>2666.67</v>
      </c>
      <c r="L171" s="15">
        <v>2666.67</v>
      </c>
      <c r="M171" s="15">
        <v>2666.67</v>
      </c>
      <c r="N171" s="15">
        <v>2666.67</v>
      </c>
      <c r="O171" s="15">
        <v>2666.67</v>
      </c>
      <c r="P171" s="15">
        <v>2666.67</v>
      </c>
      <c r="Q171" s="15">
        <v>2666.67</v>
      </c>
      <c r="R171" s="15">
        <v>2666.67</v>
      </c>
      <c r="S171" s="15">
        <v>2666.67</v>
      </c>
      <c r="T171" s="16">
        <f>SUM(H171:S171)</f>
        <v>32000.039999999994</v>
      </c>
      <c r="U171" s="17" t="s">
        <v>307</v>
      </c>
      <c r="V171" s="13" t="s">
        <v>121</v>
      </c>
    </row>
    <row r="172" spans="1:22" ht="12.75">
      <c r="A172" s="81" t="s">
        <v>0</v>
      </c>
      <c r="B172" s="81"/>
      <c r="C172" s="81"/>
      <c r="D172" s="81"/>
      <c r="E172" s="81"/>
      <c r="F172" s="81"/>
      <c r="G172" s="81"/>
      <c r="H172" s="65">
        <f>SUM(H171)</f>
        <v>2666.67</v>
      </c>
      <c r="I172" s="65">
        <f aca="true" t="shared" si="16" ref="I172:S172">SUM(I171)</f>
        <v>2666.67</v>
      </c>
      <c r="J172" s="65">
        <f t="shared" si="16"/>
        <v>2666.67</v>
      </c>
      <c r="K172" s="65">
        <f t="shared" si="16"/>
        <v>2666.67</v>
      </c>
      <c r="L172" s="65">
        <f t="shared" si="16"/>
        <v>2666.67</v>
      </c>
      <c r="M172" s="65">
        <f t="shared" si="16"/>
        <v>2666.67</v>
      </c>
      <c r="N172" s="65">
        <f t="shared" si="16"/>
        <v>2666.67</v>
      </c>
      <c r="O172" s="65">
        <f t="shared" si="16"/>
        <v>2666.67</v>
      </c>
      <c r="P172" s="65">
        <f t="shared" si="16"/>
        <v>2666.67</v>
      </c>
      <c r="Q172" s="65">
        <f t="shared" si="16"/>
        <v>2666.67</v>
      </c>
      <c r="R172" s="65">
        <f t="shared" si="16"/>
        <v>2666.67</v>
      </c>
      <c r="S172" s="65">
        <f t="shared" si="16"/>
        <v>2666.67</v>
      </c>
      <c r="T172" s="16">
        <f>SUM(H172:S172)</f>
        <v>32000.039999999994</v>
      </c>
      <c r="U172" s="87"/>
      <c r="V172" s="87"/>
    </row>
    <row r="173" spans="1:22" ht="12.75">
      <c r="A173" s="66"/>
      <c r="B173" s="66"/>
      <c r="C173" s="66"/>
      <c r="D173" s="66"/>
      <c r="E173" s="66"/>
      <c r="F173" s="66"/>
      <c r="G173" s="66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6"/>
      <c r="U173" s="56"/>
      <c r="V173" s="57"/>
    </row>
    <row r="174" spans="1:22" s="21" customFormat="1" ht="15">
      <c r="A174" s="95" t="s">
        <v>399</v>
      </c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7"/>
    </row>
    <row r="175" spans="1:22" s="52" customFormat="1" ht="25.5">
      <c r="A175" s="42" t="s">
        <v>336</v>
      </c>
      <c r="B175" s="42" t="s">
        <v>145</v>
      </c>
      <c r="C175" s="43" t="s">
        <v>287</v>
      </c>
      <c r="D175" s="44" t="s">
        <v>97</v>
      </c>
      <c r="E175" s="45">
        <v>43435</v>
      </c>
      <c r="F175" s="43" t="s">
        <v>92</v>
      </c>
      <c r="G175" s="45">
        <v>44165</v>
      </c>
      <c r="H175" s="46">
        <v>250</v>
      </c>
      <c r="I175" s="46">
        <v>250</v>
      </c>
      <c r="J175" s="46">
        <v>250</v>
      </c>
      <c r="K175" s="46">
        <v>250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7">
        <f aca="true" t="shared" si="17" ref="T175:T182">SUM(H175:S175)</f>
        <v>1000</v>
      </c>
      <c r="U175" s="48" t="s">
        <v>310</v>
      </c>
      <c r="V175" s="44" t="s">
        <v>121</v>
      </c>
    </row>
    <row r="176" spans="1:22" s="52" customFormat="1" ht="12.75">
      <c r="A176" s="42" t="s">
        <v>336</v>
      </c>
      <c r="B176" s="42" t="s">
        <v>145</v>
      </c>
      <c r="C176" s="43" t="s">
        <v>39</v>
      </c>
      <c r="D176" s="44" t="s">
        <v>96</v>
      </c>
      <c r="E176" s="45">
        <v>43435</v>
      </c>
      <c r="F176" s="43" t="s">
        <v>91</v>
      </c>
      <c r="G176" s="45">
        <v>44165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7">
        <f t="shared" si="17"/>
        <v>0</v>
      </c>
      <c r="U176" s="47" t="s">
        <v>315</v>
      </c>
      <c r="V176" s="44" t="s">
        <v>121</v>
      </c>
    </row>
    <row r="177" spans="1:22" ht="25.5">
      <c r="A177" s="11" t="s">
        <v>143</v>
      </c>
      <c r="B177" s="11" t="s">
        <v>145</v>
      </c>
      <c r="C177" s="12" t="s">
        <v>174</v>
      </c>
      <c r="D177" s="13" t="s">
        <v>130</v>
      </c>
      <c r="E177" s="14">
        <v>43435</v>
      </c>
      <c r="F177" s="12" t="s">
        <v>129</v>
      </c>
      <c r="G177" s="14">
        <v>44167</v>
      </c>
      <c r="H177" s="15">
        <v>16000</v>
      </c>
      <c r="I177" s="15">
        <v>16000</v>
      </c>
      <c r="J177" s="15">
        <v>16000</v>
      </c>
      <c r="K177" s="15">
        <v>16000</v>
      </c>
      <c r="L177" s="15">
        <v>16000</v>
      </c>
      <c r="M177" s="15">
        <v>16000</v>
      </c>
      <c r="N177" s="15">
        <v>16000</v>
      </c>
      <c r="O177" s="15">
        <v>16000</v>
      </c>
      <c r="P177" s="15">
        <v>16000</v>
      </c>
      <c r="Q177" s="15">
        <v>16000</v>
      </c>
      <c r="R177" s="15">
        <v>16000</v>
      </c>
      <c r="S177" s="15">
        <v>16000</v>
      </c>
      <c r="T177" s="16">
        <f t="shared" si="17"/>
        <v>192000</v>
      </c>
      <c r="U177" s="17" t="s">
        <v>307</v>
      </c>
      <c r="V177" s="13" t="s">
        <v>121</v>
      </c>
    </row>
    <row r="178" spans="1:22" s="52" customFormat="1" ht="25.5">
      <c r="A178" s="42" t="s">
        <v>336</v>
      </c>
      <c r="B178" s="42" t="s">
        <v>145</v>
      </c>
      <c r="C178" s="43" t="s">
        <v>368</v>
      </c>
      <c r="D178" s="44" t="s">
        <v>405</v>
      </c>
      <c r="E178" s="45">
        <v>43955</v>
      </c>
      <c r="F178" s="43"/>
      <c r="G178" s="45">
        <v>44043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945</v>
      </c>
      <c r="O178" s="46">
        <v>0</v>
      </c>
      <c r="P178" s="46"/>
      <c r="Q178" s="46">
        <v>0</v>
      </c>
      <c r="R178" s="46"/>
      <c r="S178" s="46"/>
      <c r="T178" s="47">
        <f t="shared" si="17"/>
        <v>945</v>
      </c>
      <c r="U178" s="48" t="s">
        <v>406</v>
      </c>
      <c r="V178" s="44" t="s">
        <v>121</v>
      </c>
    </row>
    <row r="179" spans="1:22" ht="25.5">
      <c r="A179" s="11" t="s">
        <v>143</v>
      </c>
      <c r="B179" s="11" t="s">
        <v>145</v>
      </c>
      <c r="C179" s="12" t="s">
        <v>202</v>
      </c>
      <c r="D179" s="13" t="s">
        <v>203</v>
      </c>
      <c r="E179" s="14">
        <v>43435</v>
      </c>
      <c r="F179" s="33" t="s">
        <v>204</v>
      </c>
      <c r="G179" s="14">
        <v>44165</v>
      </c>
      <c r="H179" s="15">
        <v>1500</v>
      </c>
      <c r="I179" s="15">
        <v>1500</v>
      </c>
      <c r="J179" s="15">
        <v>1500</v>
      </c>
      <c r="K179" s="15">
        <v>1500</v>
      </c>
      <c r="L179" s="15">
        <f>1500+250</f>
        <v>1750</v>
      </c>
      <c r="M179" s="15">
        <f>250+1500</f>
        <v>1750</v>
      </c>
      <c r="N179" s="15">
        <f>250+1500</f>
        <v>1750</v>
      </c>
      <c r="O179" s="15">
        <f>250+1500</f>
        <v>1750</v>
      </c>
      <c r="P179" s="15">
        <f>250</f>
        <v>250</v>
      </c>
      <c r="Q179" s="15">
        <v>1750</v>
      </c>
      <c r="R179" s="15">
        <v>1750</v>
      </c>
      <c r="S179" s="15">
        <v>1750</v>
      </c>
      <c r="T179" s="16">
        <f t="shared" si="17"/>
        <v>18500</v>
      </c>
      <c r="U179" s="17" t="s">
        <v>310</v>
      </c>
      <c r="V179" s="13" t="s">
        <v>121</v>
      </c>
    </row>
    <row r="180" spans="1:22" ht="25.5">
      <c r="A180" s="11" t="s">
        <v>143</v>
      </c>
      <c r="B180" s="11" t="s">
        <v>145</v>
      </c>
      <c r="C180" s="12" t="s">
        <v>374</v>
      </c>
      <c r="D180" s="13" t="s">
        <v>375</v>
      </c>
      <c r="E180" s="14">
        <v>44075</v>
      </c>
      <c r="F180" s="33" t="s">
        <v>376</v>
      </c>
      <c r="G180" s="14">
        <v>44439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10000</v>
      </c>
      <c r="Q180" s="15">
        <v>10000</v>
      </c>
      <c r="R180" s="15">
        <v>10000</v>
      </c>
      <c r="S180" s="15">
        <v>10000</v>
      </c>
      <c r="T180" s="16">
        <f t="shared" si="17"/>
        <v>40000</v>
      </c>
      <c r="U180" s="17" t="s">
        <v>310</v>
      </c>
      <c r="V180" s="13" t="s">
        <v>121</v>
      </c>
    </row>
    <row r="181" spans="1:22" ht="25.5">
      <c r="A181" s="11" t="s">
        <v>143</v>
      </c>
      <c r="B181" s="11" t="s">
        <v>145</v>
      </c>
      <c r="C181" s="12" t="s">
        <v>359</v>
      </c>
      <c r="D181" s="13" t="s">
        <v>360</v>
      </c>
      <c r="E181" s="14">
        <v>43983</v>
      </c>
      <c r="F181" s="33" t="s">
        <v>404</v>
      </c>
      <c r="G181" s="14">
        <v>44347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1850</v>
      </c>
      <c r="N181" s="15">
        <v>1850</v>
      </c>
      <c r="O181" s="15">
        <v>1850</v>
      </c>
      <c r="P181" s="15">
        <v>1850</v>
      </c>
      <c r="Q181" s="15">
        <v>1850</v>
      </c>
      <c r="R181" s="15">
        <v>1850</v>
      </c>
      <c r="S181" s="15">
        <v>1850</v>
      </c>
      <c r="T181" s="16">
        <f t="shared" si="17"/>
        <v>12950</v>
      </c>
      <c r="U181" s="17" t="s">
        <v>361</v>
      </c>
      <c r="V181" s="13" t="s">
        <v>121</v>
      </c>
    </row>
    <row r="182" spans="1:22" s="52" customFormat="1" ht="25.5">
      <c r="A182" s="42" t="s">
        <v>336</v>
      </c>
      <c r="B182" s="42" t="s">
        <v>145</v>
      </c>
      <c r="C182" s="43" t="s">
        <v>342</v>
      </c>
      <c r="D182" s="44" t="s">
        <v>333</v>
      </c>
      <c r="E182" s="45">
        <v>43815</v>
      </c>
      <c r="F182" s="43" t="s">
        <v>334</v>
      </c>
      <c r="G182" s="45">
        <v>44180</v>
      </c>
      <c r="H182" s="46">
        <v>2840</v>
      </c>
      <c r="I182" s="46">
        <v>2840</v>
      </c>
      <c r="J182" s="46">
        <v>2840</v>
      </c>
      <c r="K182" s="46">
        <v>2840</v>
      </c>
      <c r="L182" s="46">
        <v>2840</v>
      </c>
      <c r="M182" s="46">
        <v>0</v>
      </c>
      <c r="N182" s="46">
        <v>0</v>
      </c>
      <c r="O182" s="46"/>
      <c r="P182" s="46"/>
      <c r="Q182" s="46"/>
      <c r="R182" s="46"/>
      <c r="S182" s="46"/>
      <c r="T182" s="47">
        <f t="shared" si="17"/>
        <v>14200</v>
      </c>
      <c r="U182" s="48" t="s">
        <v>307</v>
      </c>
      <c r="V182" s="44" t="s">
        <v>121</v>
      </c>
    </row>
    <row r="183" spans="1:22" ht="12.75">
      <c r="A183" s="81" t="s">
        <v>0</v>
      </c>
      <c r="B183" s="81"/>
      <c r="C183" s="81"/>
      <c r="D183" s="81"/>
      <c r="E183" s="81"/>
      <c r="F183" s="81"/>
      <c r="G183" s="81"/>
      <c r="H183" s="65">
        <f>SUM(H175:H182)</f>
        <v>20590</v>
      </c>
      <c r="I183" s="65">
        <f aca="true" t="shared" si="18" ref="I183:S183">SUM(I175:I182)</f>
        <v>20590</v>
      </c>
      <c r="J183" s="65">
        <f t="shared" si="18"/>
        <v>20590</v>
      </c>
      <c r="K183" s="65">
        <f t="shared" si="18"/>
        <v>20590</v>
      </c>
      <c r="L183" s="65">
        <f t="shared" si="18"/>
        <v>20590</v>
      </c>
      <c r="M183" s="65">
        <f t="shared" si="18"/>
        <v>19600</v>
      </c>
      <c r="N183" s="65">
        <f t="shared" si="18"/>
        <v>20545</v>
      </c>
      <c r="O183" s="65">
        <f t="shared" si="18"/>
        <v>19600</v>
      </c>
      <c r="P183" s="65">
        <f t="shared" si="18"/>
        <v>28100</v>
      </c>
      <c r="Q183" s="65">
        <f t="shared" si="18"/>
        <v>29600</v>
      </c>
      <c r="R183" s="65">
        <f t="shared" si="18"/>
        <v>29600</v>
      </c>
      <c r="S183" s="65">
        <f t="shared" si="18"/>
        <v>29600</v>
      </c>
      <c r="T183" s="16">
        <f>SUM(H183:S183)</f>
        <v>279595</v>
      </c>
      <c r="U183" s="87"/>
      <c r="V183" s="87"/>
    </row>
    <row r="184" spans="1:22" ht="12.75">
      <c r="A184" s="34"/>
      <c r="B184" s="30"/>
      <c r="C184" s="31"/>
      <c r="D184" s="28"/>
      <c r="E184" s="28"/>
      <c r="F184" s="32"/>
      <c r="G184" s="28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6"/>
      <c r="U184" s="26"/>
      <c r="V184" s="28"/>
    </row>
    <row r="185" spans="1:22" s="21" customFormat="1" ht="15">
      <c r="A185" s="95" t="s">
        <v>199</v>
      </c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7"/>
    </row>
    <row r="186" spans="1:24" ht="25.5">
      <c r="A186" s="42" t="s">
        <v>143</v>
      </c>
      <c r="B186" s="42" t="s">
        <v>145</v>
      </c>
      <c r="C186" s="43" t="s">
        <v>181</v>
      </c>
      <c r="D186" s="44" t="s">
        <v>180</v>
      </c>
      <c r="E186" s="45">
        <v>43466</v>
      </c>
      <c r="F186" s="43" t="s">
        <v>184</v>
      </c>
      <c r="G186" s="45">
        <v>43982</v>
      </c>
      <c r="H186" s="46">
        <v>2000</v>
      </c>
      <c r="I186" s="46">
        <v>2000</v>
      </c>
      <c r="J186" s="46">
        <v>2000</v>
      </c>
      <c r="K186" s="46">
        <v>2000</v>
      </c>
      <c r="L186" s="46">
        <v>2000</v>
      </c>
      <c r="M186" s="46">
        <v>2000</v>
      </c>
      <c r="N186" s="46">
        <v>2000</v>
      </c>
      <c r="O186" s="46">
        <v>2000</v>
      </c>
      <c r="P186" s="46">
        <v>2000</v>
      </c>
      <c r="Q186" s="46">
        <v>2000</v>
      </c>
      <c r="R186" s="46">
        <v>2000</v>
      </c>
      <c r="S186" s="46">
        <v>0</v>
      </c>
      <c r="T186" s="47">
        <f>SUM(H186:S186)</f>
        <v>22000</v>
      </c>
      <c r="U186" s="17" t="s">
        <v>312</v>
      </c>
      <c r="V186" s="13" t="s">
        <v>121</v>
      </c>
      <c r="X186" s="2" t="s">
        <v>427</v>
      </c>
    </row>
    <row r="187" spans="1:24" ht="25.5">
      <c r="A187" s="42" t="s">
        <v>143</v>
      </c>
      <c r="B187" s="42" t="s">
        <v>145</v>
      </c>
      <c r="C187" s="43" t="s">
        <v>183</v>
      </c>
      <c r="D187" s="44" t="s">
        <v>182</v>
      </c>
      <c r="E187" s="45">
        <v>43466</v>
      </c>
      <c r="F187" s="49" t="s">
        <v>184</v>
      </c>
      <c r="G187" s="45">
        <v>43982</v>
      </c>
      <c r="H187" s="46">
        <v>2000</v>
      </c>
      <c r="I187" s="46">
        <v>2000</v>
      </c>
      <c r="J187" s="46">
        <v>2000</v>
      </c>
      <c r="K187" s="46">
        <v>2000</v>
      </c>
      <c r="L187" s="46">
        <v>2000</v>
      </c>
      <c r="M187" s="46">
        <v>2000</v>
      </c>
      <c r="N187" s="46">
        <v>2000</v>
      </c>
      <c r="O187" s="46">
        <v>2000</v>
      </c>
      <c r="P187" s="46">
        <v>2000</v>
      </c>
      <c r="Q187" s="46">
        <v>2000</v>
      </c>
      <c r="R187" s="46">
        <v>2000</v>
      </c>
      <c r="S187" s="46">
        <v>0</v>
      </c>
      <c r="T187" s="47">
        <f>SUM(H187:S187)</f>
        <v>22000</v>
      </c>
      <c r="U187" s="17" t="s">
        <v>312</v>
      </c>
      <c r="V187" s="13" t="s">
        <v>198</v>
      </c>
      <c r="X187" s="2" t="s">
        <v>427</v>
      </c>
    </row>
    <row r="188" spans="1:22" ht="12.75">
      <c r="A188" s="81" t="s">
        <v>0</v>
      </c>
      <c r="B188" s="81"/>
      <c r="C188" s="81"/>
      <c r="D188" s="81"/>
      <c r="E188" s="81"/>
      <c r="F188" s="81"/>
      <c r="G188" s="81"/>
      <c r="H188" s="65">
        <f aca="true" t="shared" si="19" ref="H188:S188">SUM(H186:H187)</f>
        <v>4000</v>
      </c>
      <c r="I188" s="65">
        <f t="shared" si="19"/>
        <v>4000</v>
      </c>
      <c r="J188" s="65">
        <f t="shared" si="19"/>
        <v>4000</v>
      </c>
      <c r="K188" s="65">
        <f t="shared" si="19"/>
        <v>4000</v>
      </c>
      <c r="L188" s="65">
        <f t="shared" si="19"/>
        <v>4000</v>
      </c>
      <c r="M188" s="65">
        <f t="shared" si="19"/>
        <v>4000</v>
      </c>
      <c r="N188" s="65">
        <f t="shared" si="19"/>
        <v>4000</v>
      </c>
      <c r="O188" s="65">
        <f t="shared" si="19"/>
        <v>4000</v>
      </c>
      <c r="P188" s="65">
        <f t="shared" si="19"/>
        <v>4000</v>
      </c>
      <c r="Q188" s="65">
        <f t="shared" si="19"/>
        <v>4000</v>
      </c>
      <c r="R188" s="65">
        <f t="shared" si="19"/>
        <v>4000</v>
      </c>
      <c r="S188" s="65">
        <f t="shared" si="19"/>
        <v>0</v>
      </c>
      <c r="T188" s="65">
        <f>SUM(T186:T187)</f>
        <v>44000</v>
      </c>
      <c r="U188" s="87"/>
      <c r="V188" s="87"/>
    </row>
    <row r="189" spans="1:22" s="21" customFormat="1" ht="12.75">
      <c r="A189" s="35"/>
      <c r="B189" s="35"/>
      <c r="C189" s="36"/>
      <c r="D189" s="10"/>
      <c r="E189" s="10"/>
      <c r="F189" s="37"/>
      <c r="G189" s="10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0"/>
    </row>
    <row r="190" spans="1:22" s="21" customFormat="1" ht="15">
      <c r="A190" s="95" t="s">
        <v>28</v>
      </c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7"/>
    </row>
    <row r="191" spans="1:22" ht="25.5">
      <c r="A191" s="11" t="s">
        <v>143</v>
      </c>
      <c r="B191" s="11" t="s">
        <v>145</v>
      </c>
      <c r="C191" s="12" t="s">
        <v>291</v>
      </c>
      <c r="D191" s="13" t="s">
        <v>304</v>
      </c>
      <c r="E191" s="14">
        <v>43739</v>
      </c>
      <c r="F191" s="18" t="s">
        <v>15</v>
      </c>
      <c r="G191" s="14">
        <v>45260</v>
      </c>
      <c r="H191" s="15">
        <v>1500</v>
      </c>
      <c r="I191" s="15">
        <v>1500</v>
      </c>
      <c r="J191" s="15">
        <v>1500</v>
      </c>
      <c r="K191" s="15">
        <v>1500</v>
      </c>
      <c r="L191" s="15">
        <v>1500</v>
      </c>
      <c r="M191" s="15">
        <v>1869</v>
      </c>
      <c r="N191" s="15">
        <v>1500</v>
      </c>
      <c r="O191" s="15">
        <v>1865.4</v>
      </c>
      <c r="P191" s="15">
        <v>1816.43</v>
      </c>
      <c r="Q191" s="15">
        <v>1500</v>
      </c>
      <c r="R191" s="15">
        <v>3424.09</v>
      </c>
      <c r="S191" s="15">
        <v>2007.59</v>
      </c>
      <c r="T191" s="16">
        <f>SUM(H191:S191)</f>
        <v>21482.51</v>
      </c>
      <c r="U191" s="17" t="s">
        <v>316</v>
      </c>
      <c r="V191" s="13" t="s">
        <v>121</v>
      </c>
    </row>
    <row r="192" spans="1:22" s="3" customFormat="1" ht="12.75">
      <c r="A192" s="81" t="s">
        <v>0</v>
      </c>
      <c r="B192" s="81"/>
      <c r="C192" s="81"/>
      <c r="D192" s="81"/>
      <c r="E192" s="81"/>
      <c r="F192" s="81"/>
      <c r="G192" s="81"/>
      <c r="H192" s="65">
        <f aca="true" t="shared" si="20" ref="H192:S192">SUM(H191:H191)</f>
        <v>1500</v>
      </c>
      <c r="I192" s="65">
        <f t="shared" si="20"/>
        <v>1500</v>
      </c>
      <c r="J192" s="65">
        <f t="shared" si="20"/>
        <v>1500</v>
      </c>
      <c r="K192" s="65">
        <f t="shared" si="20"/>
        <v>1500</v>
      </c>
      <c r="L192" s="65">
        <f t="shared" si="20"/>
        <v>1500</v>
      </c>
      <c r="M192" s="65">
        <f t="shared" si="20"/>
        <v>1869</v>
      </c>
      <c r="N192" s="65">
        <f t="shared" si="20"/>
        <v>1500</v>
      </c>
      <c r="O192" s="65">
        <f t="shared" si="20"/>
        <v>1865.4</v>
      </c>
      <c r="P192" s="65">
        <f t="shared" si="20"/>
        <v>1816.43</v>
      </c>
      <c r="Q192" s="65">
        <f t="shared" si="20"/>
        <v>1500</v>
      </c>
      <c r="R192" s="65">
        <f t="shared" si="20"/>
        <v>3424.09</v>
      </c>
      <c r="S192" s="65">
        <f t="shared" si="20"/>
        <v>2007.59</v>
      </c>
      <c r="T192" s="16">
        <f>SUM(H192:S192)</f>
        <v>21482.51</v>
      </c>
      <c r="U192" s="87"/>
      <c r="V192" s="87"/>
    </row>
    <row r="193" spans="1:22" ht="12.75">
      <c r="A193" s="30"/>
      <c r="B193" s="30"/>
      <c r="C193" s="31"/>
      <c r="D193" s="28"/>
      <c r="E193" s="28"/>
      <c r="F193" s="32"/>
      <c r="G193" s="28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6"/>
      <c r="U193" s="26"/>
      <c r="V193" s="28"/>
    </row>
    <row r="194" spans="1:22" s="21" customFormat="1" ht="15">
      <c r="A194" s="95" t="s">
        <v>400</v>
      </c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7"/>
    </row>
    <row r="195" spans="1:22" s="52" customFormat="1" ht="25.5">
      <c r="A195" s="42" t="s">
        <v>336</v>
      </c>
      <c r="B195" s="42" t="s">
        <v>145</v>
      </c>
      <c r="C195" s="43" t="s">
        <v>133</v>
      </c>
      <c r="D195" s="44" t="s">
        <v>134</v>
      </c>
      <c r="E195" s="45">
        <v>43435</v>
      </c>
      <c r="F195" s="49" t="s">
        <v>14</v>
      </c>
      <c r="G195" s="45">
        <v>44165</v>
      </c>
      <c r="H195" s="46">
        <v>11319.73</v>
      </c>
      <c r="I195" s="46">
        <v>12488.01</v>
      </c>
      <c r="J195" s="46">
        <v>13302.26</v>
      </c>
      <c r="K195" s="46">
        <v>11834.19</v>
      </c>
      <c r="L195" s="46">
        <v>12284.39</v>
      </c>
      <c r="M195" s="46">
        <v>11518.36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7">
        <f>SUM(H195:S195)</f>
        <v>72746.94</v>
      </c>
      <c r="U195" s="48" t="s">
        <v>317</v>
      </c>
      <c r="V195" s="44" t="s">
        <v>121</v>
      </c>
    </row>
    <row r="196" spans="1:22" ht="12.75">
      <c r="A196" s="11"/>
      <c r="B196" s="11"/>
      <c r="C196" s="12" t="s">
        <v>362</v>
      </c>
      <c r="D196" s="13" t="s">
        <v>363</v>
      </c>
      <c r="E196" s="14"/>
      <c r="F196" s="18" t="s">
        <v>14</v>
      </c>
      <c r="G196" s="14"/>
      <c r="H196" s="15">
        <v>0</v>
      </c>
      <c r="I196" s="15">
        <v>0</v>
      </c>
      <c r="J196" s="15">
        <v>0</v>
      </c>
      <c r="K196" s="15">
        <v>0</v>
      </c>
      <c r="L196" s="15">
        <v>0</v>
      </c>
      <c r="M196" s="15">
        <v>4404.5</v>
      </c>
      <c r="N196" s="15">
        <v>6583.72</v>
      </c>
      <c r="O196" s="15">
        <v>7321.4</v>
      </c>
      <c r="P196" s="15">
        <v>7178.42</v>
      </c>
      <c r="Q196" s="15">
        <v>7325.38</v>
      </c>
      <c r="R196" s="15">
        <v>8049.74</v>
      </c>
      <c r="S196" s="15">
        <v>6829.94</v>
      </c>
      <c r="T196" s="16">
        <f>SUM(H196:S196)</f>
        <v>47693.1</v>
      </c>
      <c r="U196" s="17"/>
      <c r="V196" s="13" t="s">
        <v>121</v>
      </c>
    </row>
    <row r="197" spans="1:22" ht="12.75">
      <c r="A197" s="81" t="s">
        <v>0</v>
      </c>
      <c r="B197" s="81"/>
      <c r="C197" s="81"/>
      <c r="D197" s="81"/>
      <c r="E197" s="81"/>
      <c r="F197" s="81"/>
      <c r="G197" s="81"/>
      <c r="H197" s="65">
        <f>SUM(H195:H196)</f>
        <v>11319.73</v>
      </c>
      <c r="I197" s="65">
        <f aca="true" t="shared" si="21" ref="I197:T197">SUM(I195:I196)</f>
        <v>12488.01</v>
      </c>
      <c r="J197" s="65">
        <f t="shared" si="21"/>
        <v>13302.26</v>
      </c>
      <c r="K197" s="65">
        <f t="shared" si="21"/>
        <v>11834.19</v>
      </c>
      <c r="L197" s="65">
        <f t="shared" si="21"/>
        <v>12284.39</v>
      </c>
      <c r="M197" s="65">
        <f t="shared" si="21"/>
        <v>15922.86</v>
      </c>
      <c r="N197" s="65">
        <f t="shared" si="21"/>
        <v>6583.72</v>
      </c>
      <c r="O197" s="65">
        <f t="shared" si="21"/>
        <v>7321.4</v>
      </c>
      <c r="P197" s="65">
        <f t="shared" si="21"/>
        <v>7178.42</v>
      </c>
      <c r="Q197" s="65">
        <f t="shared" si="21"/>
        <v>7325.38</v>
      </c>
      <c r="R197" s="65">
        <f t="shared" si="21"/>
        <v>8049.74</v>
      </c>
      <c r="S197" s="65">
        <f t="shared" si="21"/>
        <v>6829.94</v>
      </c>
      <c r="T197" s="65">
        <f t="shared" si="21"/>
        <v>120440.04000000001</v>
      </c>
      <c r="U197" s="87"/>
      <c r="V197" s="87"/>
    </row>
    <row r="198" spans="1:22" s="37" customFormat="1" ht="12.75">
      <c r="A198" s="38"/>
      <c r="B198" s="38"/>
      <c r="C198" s="36"/>
      <c r="D198" s="10"/>
      <c r="E198" s="10"/>
      <c r="G198" s="10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20"/>
      <c r="U198" s="20"/>
      <c r="V198" s="10"/>
    </row>
    <row r="199" spans="1:22" s="21" customFormat="1" ht="15">
      <c r="A199" s="95" t="s">
        <v>401</v>
      </c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7"/>
    </row>
    <row r="200" spans="1:22" s="52" customFormat="1" ht="25.5">
      <c r="A200" s="42" t="s">
        <v>336</v>
      </c>
      <c r="B200" s="42" t="s">
        <v>145</v>
      </c>
      <c r="C200" s="43" t="s">
        <v>170</v>
      </c>
      <c r="D200" s="44" t="s">
        <v>171</v>
      </c>
      <c r="E200" s="45">
        <v>43435</v>
      </c>
      <c r="F200" s="50" t="s">
        <v>305</v>
      </c>
      <c r="G200" s="45">
        <v>44136</v>
      </c>
      <c r="H200" s="46">
        <v>2800</v>
      </c>
      <c r="I200" s="46">
        <v>2800</v>
      </c>
      <c r="J200" s="46">
        <v>2800</v>
      </c>
      <c r="K200" s="46">
        <v>2800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7">
        <f>SUM(H200:S200)</f>
        <v>11200</v>
      </c>
      <c r="U200" s="48" t="s">
        <v>307</v>
      </c>
      <c r="V200" s="44" t="s">
        <v>121</v>
      </c>
    </row>
    <row r="201" spans="1:24" ht="25.5">
      <c r="A201" s="42" t="s">
        <v>336</v>
      </c>
      <c r="B201" s="42" t="s">
        <v>145</v>
      </c>
      <c r="C201" s="43" t="s">
        <v>274</v>
      </c>
      <c r="D201" s="44" t="s">
        <v>275</v>
      </c>
      <c r="E201" s="45"/>
      <c r="F201" s="50" t="s">
        <v>364</v>
      </c>
      <c r="G201" s="45"/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27450</v>
      </c>
      <c r="N201" s="46">
        <v>14700</v>
      </c>
      <c r="O201" s="46">
        <v>14700</v>
      </c>
      <c r="P201" s="46">
        <v>22950</v>
      </c>
      <c r="Q201" s="46">
        <v>30300</v>
      </c>
      <c r="R201" s="46">
        <v>14400</v>
      </c>
      <c r="S201" s="46">
        <v>0</v>
      </c>
      <c r="T201" s="47">
        <f>SUM(H201:S201)</f>
        <v>124500</v>
      </c>
      <c r="U201" s="17" t="s">
        <v>307</v>
      </c>
      <c r="V201" s="13" t="s">
        <v>121</v>
      </c>
      <c r="X201" s="2" t="s">
        <v>427</v>
      </c>
    </row>
    <row r="202" spans="1:22" ht="12.75">
      <c r="A202" s="81" t="s">
        <v>0</v>
      </c>
      <c r="B202" s="81"/>
      <c r="C202" s="81"/>
      <c r="D202" s="81"/>
      <c r="E202" s="81"/>
      <c r="F202" s="81"/>
      <c r="G202" s="81"/>
      <c r="H202" s="65">
        <f>SUM(H200:H201)</f>
        <v>2800</v>
      </c>
      <c r="I202" s="65">
        <f aca="true" t="shared" si="22" ref="I202:T202">SUM(I200:I201)</f>
        <v>2800</v>
      </c>
      <c r="J202" s="65">
        <f t="shared" si="22"/>
        <v>2800</v>
      </c>
      <c r="K202" s="65">
        <f t="shared" si="22"/>
        <v>2800</v>
      </c>
      <c r="L202" s="65">
        <f t="shared" si="22"/>
        <v>0</v>
      </c>
      <c r="M202" s="65">
        <f t="shared" si="22"/>
        <v>27450</v>
      </c>
      <c r="N202" s="65">
        <f t="shared" si="22"/>
        <v>14700</v>
      </c>
      <c r="O202" s="65">
        <f t="shared" si="22"/>
        <v>14700</v>
      </c>
      <c r="P202" s="65">
        <f t="shared" si="22"/>
        <v>22950</v>
      </c>
      <c r="Q202" s="65">
        <f t="shared" si="22"/>
        <v>30300</v>
      </c>
      <c r="R202" s="65">
        <f t="shared" si="22"/>
        <v>14400</v>
      </c>
      <c r="S202" s="65">
        <f t="shared" si="22"/>
        <v>0</v>
      </c>
      <c r="T202" s="65">
        <f t="shared" si="22"/>
        <v>135700</v>
      </c>
      <c r="U202" s="87"/>
      <c r="V202" s="87"/>
    </row>
    <row r="203" spans="1:22" s="37" customFormat="1" ht="12.75">
      <c r="A203" s="38"/>
      <c r="B203" s="38"/>
      <c r="C203" s="36"/>
      <c r="D203" s="10"/>
      <c r="E203" s="10"/>
      <c r="G203" s="10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20"/>
      <c r="U203" s="20"/>
      <c r="V203" s="10"/>
    </row>
    <row r="204" spans="1:22" ht="12.75">
      <c r="A204" s="81" t="s">
        <v>5</v>
      </c>
      <c r="B204" s="81"/>
      <c r="C204" s="81"/>
      <c r="D204" s="81"/>
      <c r="E204" s="81"/>
      <c r="F204" s="81"/>
      <c r="G204" s="81"/>
      <c r="H204" s="65">
        <f aca="true" t="shared" si="23" ref="H204:S204">H22+H26+H119+H124+H129+H135+H143+H149+H153+H160+H164+H168+H172+H183+H188+H192+H197+H202</f>
        <v>915005.3300000001</v>
      </c>
      <c r="I204" s="65">
        <f t="shared" si="23"/>
        <v>915178.2300000001</v>
      </c>
      <c r="J204" s="65">
        <f t="shared" si="23"/>
        <v>857885.8800000001</v>
      </c>
      <c r="K204" s="65">
        <f t="shared" si="23"/>
        <v>676063.45</v>
      </c>
      <c r="L204" s="65">
        <f t="shared" si="23"/>
        <v>861883.3</v>
      </c>
      <c r="M204" s="65">
        <f t="shared" si="23"/>
        <v>1158914.4300000002</v>
      </c>
      <c r="N204" s="65">
        <f t="shared" si="23"/>
        <v>1008970.06</v>
      </c>
      <c r="O204" s="65">
        <f t="shared" si="23"/>
        <v>1058419.9700000002</v>
      </c>
      <c r="P204" s="65">
        <f t="shared" si="23"/>
        <v>1124786.7799999998</v>
      </c>
      <c r="Q204" s="65">
        <f t="shared" si="23"/>
        <v>1159857.13</v>
      </c>
      <c r="R204" s="65">
        <f t="shared" si="23"/>
        <v>1044726.36</v>
      </c>
      <c r="S204" s="65">
        <f t="shared" si="23"/>
        <v>922328.8299999997</v>
      </c>
      <c r="T204" s="65">
        <f>T22+T26+T119+T124+T129+T135+T143+T149+T153+T160+T164+T168+T172+T183+T188+T192+T197+T202</f>
        <v>11704019.749999996</v>
      </c>
      <c r="U204" s="87"/>
      <c r="V204" s="87"/>
    </row>
    <row r="205" spans="8:21" ht="12.7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5:7" ht="12.75">
      <c r="E206" s="2"/>
      <c r="G206" s="2"/>
    </row>
    <row r="207" spans="1:22" ht="12.75">
      <c r="A207" s="89"/>
      <c r="B207" s="89"/>
      <c r="C207" s="89"/>
      <c r="D207" s="89"/>
      <c r="E207" s="89"/>
      <c r="F207" s="89"/>
      <c r="G207" s="89"/>
      <c r="H207" s="89"/>
      <c r="I207" s="89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5">
        <f>T204</f>
        <v>11704019.749999996</v>
      </c>
      <c r="U207" s="91"/>
      <c r="V207" s="92"/>
    </row>
    <row r="208" spans="5:7" ht="12.75">
      <c r="E208" s="2"/>
      <c r="G208" s="2"/>
    </row>
    <row r="209" spans="5:7" ht="12.75">
      <c r="E209" s="2"/>
      <c r="G209" s="2"/>
    </row>
    <row r="210" spans="5:7" ht="12.75">
      <c r="E210" s="2"/>
      <c r="G210" s="2"/>
    </row>
    <row r="211" spans="5:21" ht="12.75">
      <c r="E211" s="2"/>
      <c r="G211" s="2"/>
      <c r="T211" s="51"/>
      <c r="U211" s="51"/>
    </row>
    <row r="212" spans="1:22" ht="15" customHeight="1">
      <c r="A212" s="93" t="s">
        <v>319</v>
      </c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/>
    </row>
    <row r="213" spans="1:22" ht="15" customHeight="1">
      <c r="A213" s="94" t="s">
        <v>320</v>
      </c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</row>
    <row r="214" ht="12.75">
      <c r="C214" s="2"/>
    </row>
    <row r="221" ht="12.75">
      <c r="L221" s="39"/>
    </row>
  </sheetData>
  <sheetProtection/>
  <mergeCells count="83">
    <mergeCell ref="C2:T2"/>
    <mergeCell ref="A8:V8"/>
    <mergeCell ref="B10:B11"/>
    <mergeCell ref="C10:C11"/>
    <mergeCell ref="D10:D11"/>
    <mergeCell ref="E10:E11"/>
    <mergeCell ref="F10:F11"/>
    <mergeCell ref="G10:G11"/>
    <mergeCell ref="H10:H11"/>
    <mergeCell ref="I10:I11"/>
    <mergeCell ref="S10:S11"/>
    <mergeCell ref="T10:T11"/>
    <mergeCell ref="U10:U11"/>
    <mergeCell ref="J10:J11"/>
    <mergeCell ref="K10:K11"/>
    <mergeCell ref="L10:L11"/>
    <mergeCell ref="M10:M11"/>
    <mergeCell ref="N10:N11"/>
    <mergeCell ref="O10:O11"/>
    <mergeCell ref="V10:V11"/>
    <mergeCell ref="A13:V13"/>
    <mergeCell ref="A22:G22"/>
    <mergeCell ref="U22:V22"/>
    <mergeCell ref="A24:V24"/>
    <mergeCell ref="A26:G26"/>
    <mergeCell ref="U26:V26"/>
    <mergeCell ref="P10:P11"/>
    <mergeCell ref="Q10:Q11"/>
    <mergeCell ref="R10:R11"/>
    <mergeCell ref="A28:V28"/>
    <mergeCell ref="A119:G119"/>
    <mergeCell ref="U119:V119"/>
    <mergeCell ref="A121:V121"/>
    <mergeCell ref="A124:G124"/>
    <mergeCell ref="U124:V124"/>
    <mergeCell ref="A127:V127"/>
    <mergeCell ref="A129:G129"/>
    <mergeCell ref="U129:V129"/>
    <mergeCell ref="A132:V132"/>
    <mergeCell ref="A135:G135"/>
    <mergeCell ref="U135:V135"/>
    <mergeCell ref="A140:V140"/>
    <mergeCell ref="A143:G143"/>
    <mergeCell ref="U143:V143"/>
    <mergeCell ref="A145:V145"/>
    <mergeCell ref="A149:G149"/>
    <mergeCell ref="U149:V149"/>
    <mergeCell ref="A151:V151"/>
    <mergeCell ref="A153:G153"/>
    <mergeCell ref="U153:V153"/>
    <mergeCell ref="A155:V155"/>
    <mergeCell ref="A160:G160"/>
    <mergeCell ref="U160:V160"/>
    <mergeCell ref="A162:V162"/>
    <mergeCell ref="A164:G164"/>
    <mergeCell ref="U164:V164"/>
    <mergeCell ref="A166:V166"/>
    <mergeCell ref="A168:G168"/>
    <mergeCell ref="U168:V168"/>
    <mergeCell ref="A170:V170"/>
    <mergeCell ref="A172:G172"/>
    <mergeCell ref="U172:V172"/>
    <mergeCell ref="A174:V174"/>
    <mergeCell ref="A183:G183"/>
    <mergeCell ref="U183:V183"/>
    <mergeCell ref="A185:V185"/>
    <mergeCell ref="A188:G188"/>
    <mergeCell ref="U188:V188"/>
    <mergeCell ref="A190:V190"/>
    <mergeCell ref="A192:G192"/>
    <mergeCell ref="U192:V192"/>
    <mergeCell ref="A194:V194"/>
    <mergeCell ref="A197:G197"/>
    <mergeCell ref="U197:V197"/>
    <mergeCell ref="A199:V199"/>
    <mergeCell ref="A202:G202"/>
    <mergeCell ref="U202:V202"/>
    <mergeCell ref="A204:G204"/>
    <mergeCell ref="U204:V204"/>
    <mergeCell ref="A207:I207"/>
    <mergeCell ref="U207:V207"/>
    <mergeCell ref="A212:V212"/>
    <mergeCell ref="A213:V213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Alessandro Menezes</cp:lastModifiedBy>
  <cp:lastPrinted>2023-04-12T13:38:12Z</cp:lastPrinted>
  <dcterms:created xsi:type="dcterms:W3CDTF">2011-09-02T13:51:41Z</dcterms:created>
  <dcterms:modified xsi:type="dcterms:W3CDTF">2023-04-12T14:21:29Z</dcterms:modified>
  <cp:category/>
  <cp:version/>
  <cp:contentType/>
  <cp:contentStatus/>
</cp:coreProperties>
</file>